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790" windowHeight="9345" activeTab="0"/>
  </bookViews>
  <sheets>
    <sheet name="Occidentale" sheetId="1" r:id="rId1"/>
    <sheet name="Orientale" sheetId="2" r:id="rId2"/>
    <sheet name="Po" sheetId="3" r:id="rId3"/>
  </sheets>
  <definedNames>
    <definedName name="OLE_LINK16" localSheetId="1">'Orientale'!$B$35</definedName>
    <definedName name="OLE_LINK18" localSheetId="1">'Orientale'!$B$36</definedName>
    <definedName name="OLE_LINK19" localSheetId="1">'Orientale'!$B$37</definedName>
  </definedNames>
  <calcPr fullCalcOnLoad="1"/>
</workbook>
</file>

<file path=xl/sharedStrings.xml><?xml version="1.0" encoding="utf-8"?>
<sst xmlns="http://schemas.openxmlformats.org/spreadsheetml/2006/main" count="412" uniqueCount="166">
  <si>
    <t>Q = Qs x S</t>
  </si>
  <si>
    <t>qgen = qgens x S</t>
  </si>
  <si>
    <t>qfeb = qfebs x S</t>
  </si>
  <si>
    <t>qmar = qmars x S</t>
  </si>
  <si>
    <t>qapr = qaprs x S</t>
  </si>
  <si>
    <t>qmag = qmags x S</t>
  </si>
  <si>
    <t>qgiu = qgius x S</t>
  </si>
  <si>
    <t>qlug = qlugs x S</t>
  </si>
  <si>
    <t>qago = qagos x S</t>
  </si>
  <si>
    <t>qset = qsets x S</t>
  </si>
  <si>
    <t>qott = qotts x S</t>
  </si>
  <si>
    <t>qnov = qnovs x S</t>
  </si>
  <si>
    <t>qdic = qdics x S</t>
  </si>
  <si>
    <t>q10 = q10s x S</t>
  </si>
  <si>
    <t>q91 = q91s x S</t>
  </si>
  <si>
    <t>q182 = q182s x S</t>
  </si>
  <si>
    <t>q274 = q274s x S</t>
  </si>
  <si>
    <t>q355 = q355s x S</t>
  </si>
  <si>
    <t>mm</t>
  </si>
  <si>
    <t>m s.l.m.</t>
  </si>
  <si>
    <t>kmq</t>
  </si>
  <si>
    <t>l/s/kmq</t>
  </si>
  <si>
    <t>l/s</t>
  </si>
  <si>
    <t>A = Afflusso meteorico medio annuo</t>
  </si>
  <si>
    <t>H = altitudine mediana</t>
  </si>
  <si>
    <t>S = area bacino</t>
  </si>
  <si>
    <t>Qs = portata specifica media annua</t>
  </si>
  <si>
    <t>Q = portata media annua</t>
  </si>
  <si>
    <t>qmess = portata specifica media mensile</t>
  </si>
  <si>
    <t>qmes = portata media mensile</t>
  </si>
  <si>
    <t>q10s = portata specifica di 10 giorni</t>
  </si>
  <si>
    <t>q10 = portata di 10 giorni</t>
  </si>
  <si>
    <t>q91s = portata specifica di 91 giorni</t>
  </si>
  <si>
    <t>q91 = portata di 91 giorni</t>
  </si>
  <si>
    <t>q182s = portata specifica di 182 giorni</t>
  </si>
  <si>
    <t>q182 = portata di 182 giorni</t>
  </si>
  <si>
    <t>q355s = portata specifica di 355 giorni</t>
  </si>
  <si>
    <t>q355 = portata di 355 giorni</t>
  </si>
  <si>
    <t>H</t>
  </si>
  <si>
    <t>A</t>
  </si>
  <si>
    <t>S</t>
  </si>
  <si>
    <t>Qs</t>
  </si>
  <si>
    <t>Q</t>
  </si>
  <si>
    <t>qmess</t>
  </si>
  <si>
    <t>qmes</t>
  </si>
  <si>
    <t>gen</t>
  </si>
  <si>
    <t>feb</t>
  </si>
  <si>
    <t>mer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</si>
  <si>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</si>
  <si>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</si>
  <si>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</si>
  <si>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</si>
  <si>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</si>
  <si>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</si>
  <si>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</si>
  <si>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</si>
  <si>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</si>
  <si>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q</t>
  </si>
  <si>
    <t>qs</t>
  </si>
  <si>
    <t>q274s = portata specifica di 274 giorni</t>
  </si>
  <si>
    <t>q274 = portata di 274 giorni</t>
  </si>
  <si>
    <t>D</t>
  </si>
  <si>
    <t>D-A</t>
  </si>
  <si>
    <t>D/A</t>
  </si>
  <si>
    <t>anno</t>
  </si>
  <si>
    <t>qgens = -9,22903 + 0,01393 × H + 1,07292 × Qs</t>
  </si>
  <si>
    <t>qfebs = 1,31092 - 0,01554 × H + 1,61386 × Qs</t>
  </si>
  <si>
    <t>qmars = 25,89552 - 0,01898 × H + 1,20959 × Qs</t>
  </si>
  <si>
    <t>qaprs = 4,76336 - 0,00860 × H + 1,32368 × Qs</t>
  </si>
  <si>
    <t>qmags = -0,27352 + 0,03265 × H + 0,33043 × Qs</t>
  </si>
  <si>
    <t>qgius = -11,5468 + 0,02965 × H + 0,21325 × Qs</t>
  </si>
  <si>
    <t>qlugs = -4,60293 + 0,00332 × H + 0,30438 × Qs</t>
  </si>
  <si>
    <t>qagos = -5,71950 + 0,00479 × H + 0,26477 × Qs</t>
  </si>
  <si>
    <t>qsets = -9,25502 + 0,01354 × H + 0,41700 × Qs</t>
  </si>
  <si>
    <t>qotts = -9,07111 + 0,01729 × H + 0,78930 × Qs</t>
  </si>
  <si>
    <t>qnovs = 17,99109 - 0,02025 × H + 1,74324 × Qs</t>
  </si>
  <si>
    <t>qdics = 0,52727 - 0,05347 × H + 2,75737 × Qs</t>
  </si>
  <si>
    <r>
      <t>q10s = 6,59722 X S</t>
    </r>
    <r>
      <rPr>
        <vertAlign val="superscript"/>
        <sz val="11"/>
        <color indexed="8"/>
        <rFont val="Times New Roman"/>
        <family val="1"/>
      </rPr>
      <t xml:space="preserve">0,010771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0,912801</t>
    </r>
  </si>
  <si>
    <r>
      <t>q91s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= 1,11364 X S</t>
    </r>
    <r>
      <rPr>
        <vertAlign val="superscript"/>
        <sz val="11"/>
        <color indexed="8"/>
        <rFont val="Times New Roman"/>
        <family val="1"/>
      </rPr>
      <t xml:space="preserve">0,012334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0,971628</t>
    </r>
  </si>
  <si>
    <r>
      <t>q182s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= 0,20538 X S</t>
    </r>
    <r>
      <rPr>
        <vertAlign val="superscript"/>
        <sz val="11"/>
        <color indexed="8"/>
        <rFont val="Times New Roman"/>
        <family val="1"/>
      </rPr>
      <t xml:space="preserve">0,046730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1,191391</t>
    </r>
  </si>
  <si>
    <r>
      <t>q274s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= 0,01970 X S</t>
    </r>
    <r>
      <rPr>
        <vertAlign val="superscript"/>
        <sz val="11"/>
        <color indexed="8"/>
        <rFont val="Times New Roman"/>
        <family val="1"/>
      </rPr>
      <t xml:space="preserve">0,077859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1,570269</t>
    </r>
  </si>
  <si>
    <r>
      <t>q355s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= 0,00024 X S</t>
    </r>
    <r>
      <rPr>
        <vertAlign val="superscript"/>
        <sz val="11"/>
        <color indexed="8"/>
        <rFont val="Times New Roman"/>
        <family val="1"/>
      </rPr>
      <t xml:space="preserve">0,116629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2,455435</t>
    </r>
  </si>
  <si>
    <t>Q = - 24,5694 + 0,0086 × H + 0,03416 × A</t>
  </si>
  <si>
    <t>qgens = 17,21612 - 0,01128 X H + 0,39172 X Qs</t>
  </si>
  <si>
    <t>qfebs = 18,96143 - 0,01463 X H + 0,47772 X Qs</t>
  </si>
  <si>
    <t>qmars = 2,75092 - 0,00076 X H + 0,90612 X Qs</t>
  </si>
  <si>
    <t>qaprs = 0,83206  + 0,01039 X H + 0,58833 X Qs</t>
  </si>
  <si>
    <t>qmags = - 47,2076 + 0,06614 X H + 0,90269 X Qs</t>
  </si>
  <si>
    <t>qgius = - 41,2076 + 0,04156 X H + 1,56283 X Qs</t>
  </si>
  <si>
    <t>qlugs = - 8,82208 - 0,00822 X H + 1,57414 X Qs</t>
  </si>
  <si>
    <t>qagos = 6,72423 - 0,01889 X H + 1,08984 X Qs</t>
  </si>
  <si>
    <t>qsets = 8,53122 - 0,01647 X H + 1,12151 X Qs</t>
  </si>
  <si>
    <t>qotts = - 2,41062 - 0,00121 X H + 1,23868 X Qs</t>
  </si>
  <si>
    <t>qnovs = 19,82724 - 0,02626 X H + 1,50633 X Qs</t>
  </si>
  <si>
    <t>qdics = 27,99917 - 0,02060 X H + 0,47398 X Qs</t>
  </si>
  <si>
    <t>mar</t>
  </si>
  <si>
    <r>
      <t>q10s = 4,23078 X S</t>
    </r>
    <r>
      <rPr>
        <vertAlign val="superscript"/>
        <sz val="11"/>
        <color indexed="8"/>
        <rFont val="Times New Roman"/>
        <family val="1"/>
      </rPr>
      <t xml:space="preserve">-0,107532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1,234077</t>
    </r>
    <r>
      <rPr>
        <sz val="11"/>
        <color indexed="8"/>
        <rFont val="Times New Roman"/>
        <family val="1"/>
      </rPr>
      <t xml:space="preserve">               </t>
    </r>
  </si>
  <si>
    <r>
      <t>q91s = 0,90630 X S</t>
    </r>
    <r>
      <rPr>
        <vertAlign val="superscript"/>
        <sz val="11"/>
        <color indexed="8"/>
        <rFont val="Times New Roman"/>
        <family val="1"/>
      </rPr>
      <t xml:space="preserve">0,005506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1,072750</t>
    </r>
  </si>
  <si>
    <r>
      <t>q182s = 0,82250 X S</t>
    </r>
    <r>
      <rPr>
        <vertAlign val="superscript"/>
        <sz val="11"/>
        <color indexed="8"/>
        <rFont val="Times New Roman"/>
        <family val="1"/>
      </rPr>
      <t xml:space="preserve">0,086822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0,693130</t>
    </r>
    <r>
      <rPr>
        <sz val="11"/>
        <color indexed="8"/>
        <rFont val="Times New Roman"/>
        <family val="1"/>
      </rPr>
      <t xml:space="preserve">               </t>
    </r>
  </si>
  <si>
    <r>
      <t>q274s = 0,45221 X S</t>
    </r>
    <r>
      <rPr>
        <vertAlign val="superscript"/>
        <sz val="11"/>
        <color indexed="8"/>
        <rFont val="Times New Roman"/>
        <family val="1"/>
      </rPr>
      <t xml:space="preserve">0,093306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0,757242</t>
    </r>
  </si>
  <si>
    <r>
      <t>q355s = 0,08536 X S</t>
    </r>
    <r>
      <rPr>
        <vertAlign val="superscript"/>
        <sz val="11"/>
        <color indexed="8"/>
        <rFont val="Times New Roman"/>
        <family val="1"/>
      </rPr>
      <t xml:space="preserve">0,096216 </t>
    </r>
    <r>
      <rPr>
        <sz val="11"/>
        <color indexed="8"/>
        <rFont val="Times New Roman"/>
        <family val="1"/>
      </rPr>
      <t>X Qs</t>
    </r>
    <r>
      <rPr>
        <vertAlign val="superscript"/>
        <sz val="11"/>
        <color indexed="8"/>
        <rFont val="Times New Roman"/>
        <family val="1"/>
      </rPr>
      <t>1,155468</t>
    </r>
  </si>
  <si>
    <t>L/s</t>
  </si>
  <si>
    <t>%</t>
  </si>
  <si>
    <r>
      <t>km</t>
    </r>
    <r>
      <rPr>
        <b/>
        <vertAlign val="superscript"/>
        <sz val="11"/>
        <rFont val="Times New Roman"/>
        <family val="1"/>
      </rPr>
      <t>2</t>
    </r>
  </si>
  <si>
    <r>
      <t>Qgen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14,16232 - 0,00683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+ 0,36918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</si>
  <si>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Qfeb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16,49263 - 0,00824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+ 0,37478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</si>
  <si>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Qmar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22,74646 - 0,01111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+ 0,46902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</si>
  <si>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Qapr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13,85406 - 0,01101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+ 1,15662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</si>
  <si>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Qmag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- 9,83665 + 0,00797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+ 1,63288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</si>
  <si>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Qgiu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-3 4,9228 + 0,02826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+ 1,62190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</si>
  <si>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Qlug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- 24,4942 + 0,02066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+ 1,04446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</si>
  <si>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Qago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- 16,0687 + 0,00955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+ 0,95881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</si>
  <si>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Qset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- 13,0179 + 0,00232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+ 1,21272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</si>
  <si>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Qott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- 4,54832 - 0,00479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+ 1,33784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</si>
  <si>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Qnov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16,50714 - 0,01604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+ 1,25843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</si>
  <si>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Qdic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18,06197 - 0,01030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H + 0,56036 </t>
    </r>
    <r>
      <rPr>
        <sz val="11"/>
        <rFont val="SymbolProp BT"/>
        <family val="0"/>
      </rPr>
      <t>×</t>
    </r>
    <r>
      <rPr>
        <sz val="11"/>
        <rFont val="Times New Roman"/>
        <family val="1"/>
      </rPr>
      <t xml:space="preserve"> Qs</t>
    </r>
  </si>
  <si>
    <r>
      <t>Qmes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portata specifica media mensile</t>
    </r>
  </si>
  <si>
    <t>Qmes = portata media mensile</t>
  </si>
  <si>
    <r>
      <t>Q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portata specifica media annua</t>
    </r>
  </si>
  <si>
    <r>
      <t>Q10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portata specifica di 10 giorni</t>
    </r>
  </si>
  <si>
    <t>Q10 = portata di 10 giorni</t>
  </si>
  <si>
    <r>
      <t>Q91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portata specifica di 91 giorni</t>
    </r>
  </si>
  <si>
    <t>Q91 = portata di 91 giorni</t>
  </si>
  <si>
    <r>
      <t>Q182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portata specifica di 182 giorni</t>
    </r>
  </si>
  <si>
    <t>Q182 = portata di 182 giorni</t>
  </si>
  <si>
    <r>
      <t>Q274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portata specifica di 274 giorni</t>
    </r>
  </si>
  <si>
    <r>
      <t>Q355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portata specifica di 355 giorni</t>
    </r>
  </si>
  <si>
    <t>Q355 = portata di 355 giorni</t>
  </si>
  <si>
    <r>
      <t>Q = Q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</si>
  <si>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- 24,5694 + 0,0086 × H + 0,03416 × A</t>
    </r>
  </si>
  <si>
    <r>
      <t>Qmes</t>
    </r>
    <r>
      <rPr>
        <vertAlign val="subscript"/>
        <sz val="11"/>
        <rFont val="Times New Roman"/>
        <family val="1"/>
      </rPr>
      <t>s</t>
    </r>
  </si>
  <si>
    <r>
      <t>Qgen = Qgen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</si>
  <si>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Qmar = Qmar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</si>
  <si>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Qfeb = Qfeb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</si>
  <si>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Qapr = Qapr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</si>
  <si>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Qmag = Qmag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</si>
  <si>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Qgiu =Qgiu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</si>
  <si>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Qlug = Qlug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</si>
  <si>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Qago = Qago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</si>
  <si>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Qset = Qset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</si>
  <si>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Qott = Qott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</si>
  <si>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Qnov = Qnov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</si>
  <si>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Qdic = Qdic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</si>
  <si>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Q10 = Q10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</si>
  <si>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Q91 =Q91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</si>
  <si>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Q182 = Q182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</si>
  <si>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Q274 =Q274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</si>
  <si>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Q355 =Q355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x S</t>
    </r>
  </si>
  <si>
    <r>
      <t>Q10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= 5,06749 </t>
    </r>
    <r>
      <rPr>
        <sz val="11"/>
        <rFont val="SymbolProp BT"/>
        <family val="0"/>
      </rPr>
      <t xml:space="preserve">× </t>
    </r>
    <r>
      <rPr>
        <sz val="11"/>
        <rFont val="Times New Roman"/>
        <family val="1"/>
      </rPr>
      <t>S</t>
    </r>
    <r>
      <rPr>
        <vertAlign val="superscript"/>
        <sz val="11"/>
        <rFont val="Times New Roman"/>
        <family val="1"/>
      </rPr>
      <t xml:space="preserve">-0,057871 </t>
    </r>
    <r>
      <rPr>
        <sz val="11"/>
        <rFont val="SymbolProp BT"/>
        <family val="0"/>
      </rPr>
      <t xml:space="preserve">× </t>
    </r>
    <r>
      <rPr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s</t>
    </r>
    <r>
      <rPr>
        <vertAlign val="superscript"/>
        <sz val="11"/>
        <rFont val="Times New Roman"/>
        <family val="1"/>
      </rPr>
      <t>0,965037</t>
    </r>
  </si>
  <si>
    <r>
      <t>Q91</t>
    </r>
    <r>
      <rPr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 xml:space="preserve">= 1,29772 </t>
    </r>
    <r>
      <rPr>
        <sz val="11"/>
        <rFont val="SymbolProp BT"/>
        <family val="0"/>
      </rPr>
      <t>× S</t>
    </r>
    <r>
      <rPr>
        <vertAlign val="superscript"/>
        <sz val="11"/>
        <rFont val="Times New Roman"/>
        <family val="1"/>
      </rPr>
      <t xml:space="preserve">0,009539 </t>
    </r>
    <r>
      <rPr>
        <sz val="11"/>
        <rFont val="SymbolProp BT"/>
        <family val="0"/>
      </rPr>
      <t xml:space="preserve">× </t>
    </r>
    <r>
      <rPr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s</t>
    </r>
    <r>
      <rPr>
        <vertAlign val="superscript"/>
        <sz val="11"/>
        <rFont val="Times New Roman"/>
        <family val="1"/>
      </rPr>
      <t>0,976926</t>
    </r>
  </si>
  <si>
    <r>
      <t>Q182</t>
    </r>
    <r>
      <rPr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 xml:space="preserve">= 0,54425 </t>
    </r>
    <r>
      <rPr>
        <sz val="11"/>
        <rFont val="SymbolProp BT"/>
        <family val="0"/>
      </rPr>
      <t>× S</t>
    </r>
    <r>
      <rPr>
        <vertAlign val="superscript"/>
        <sz val="11"/>
        <rFont val="Times New Roman"/>
        <family val="1"/>
      </rPr>
      <t xml:space="preserve">0,049132 </t>
    </r>
    <r>
      <rPr>
        <sz val="11"/>
        <rFont val="SymbolProp BT"/>
        <family val="0"/>
      </rPr>
      <t xml:space="preserve">× </t>
    </r>
    <r>
      <rPr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s</t>
    </r>
    <r>
      <rPr>
        <vertAlign val="superscript"/>
        <sz val="11"/>
        <rFont val="Times New Roman"/>
        <family val="1"/>
      </rPr>
      <t>0,980135</t>
    </r>
  </si>
  <si>
    <r>
      <t>Q274</t>
    </r>
    <r>
      <rPr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 xml:space="preserve">= 0,18670 </t>
    </r>
    <r>
      <rPr>
        <sz val="11"/>
        <rFont val="SymbolProp BT"/>
        <family val="0"/>
      </rPr>
      <t xml:space="preserve">× </t>
    </r>
    <r>
      <rPr>
        <sz val="11"/>
        <rFont val="Times New Roman"/>
        <family val="1"/>
      </rPr>
      <t>S</t>
    </r>
    <r>
      <rPr>
        <vertAlign val="superscript"/>
        <sz val="11"/>
        <rFont val="Times New Roman"/>
        <family val="1"/>
      </rPr>
      <t xml:space="preserve">0,069105 </t>
    </r>
    <r>
      <rPr>
        <sz val="11"/>
        <rFont val="SymbolProp BT"/>
        <family val="0"/>
      </rPr>
      <t xml:space="preserve">× </t>
    </r>
    <r>
      <rPr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s</t>
    </r>
    <r>
      <rPr>
        <vertAlign val="superscript"/>
        <sz val="11"/>
        <rFont val="Times New Roman"/>
        <family val="1"/>
      </rPr>
      <t>1,108675</t>
    </r>
  </si>
  <si>
    <r>
      <t>Q355</t>
    </r>
    <r>
      <rPr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 xml:space="preserve">= 0,07560 </t>
    </r>
    <r>
      <rPr>
        <sz val="11"/>
        <rFont val="SymbolProp BT"/>
        <family val="0"/>
      </rPr>
      <t>× S</t>
    </r>
    <r>
      <rPr>
        <vertAlign val="superscript"/>
        <sz val="11"/>
        <rFont val="Times New Roman"/>
        <family val="1"/>
      </rPr>
      <t xml:space="preserve">0,068232 </t>
    </r>
    <r>
      <rPr>
        <sz val="11"/>
        <rFont val="SymbolProp BT"/>
        <family val="0"/>
      </rPr>
      <t xml:space="preserve">× </t>
    </r>
    <r>
      <rPr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s</t>
    </r>
    <r>
      <rPr>
        <vertAlign val="superscript"/>
        <sz val="11"/>
        <rFont val="Times New Roman"/>
        <family val="1"/>
      </rPr>
      <t>1,234733</t>
    </r>
  </si>
  <si>
    <r>
      <t>Qc</t>
    </r>
    <r>
      <rPr>
        <b/>
        <vertAlign val="subscript"/>
        <sz val="11"/>
        <rFont val="Times New Roman"/>
        <family val="1"/>
      </rPr>
      <t>s</t>
    </r>
  </si>
  <si>
    <t>R</t>
  </si>
  <si>
    <r>
      <t>Qmes</t>
    </r>
    <r>
      <rPr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 xml:space="preserve">x </t>
    </r>
    <r>
      <rPr>
        <b/>
        <sz val="11"/>
        <color indexed="10"/>
        <rFont val="Times New Roman"/>
        <family val="1"/>
      </rPr>
      <t>R</t>
    </r>
  </si>
  <si>
    <t>Qcmes</t>
  </si>
  <si>
    <t>% mes</t>
  </si>
  <si>
    <r>
      <t>km</t>
    </r>
    <r>
      <rPr>
        <vertAlign val="superscript"/>
        <sz val="11"/>
        <rFont val="Times New Roman"/>
        <family val="1"/>
      </rPr>
      <t>2</t>
    </r>
  </si>
  <si>
    <t>Fattore</t>
  </si>
  <si>
    <r>
      <t>Portata media annua specifica corretta (</t>
    </r>
    <r>
      <rPr>
        <b/>
        <sz val="12"/>
        <color indexed="10"/>
        <rFont val="Times New Roman"/>
        <family val="1"/>
      </rPr>
      <t>fattore R = 0,93</t>
    </r>
    <r>
      <rPr>
        <b/>
        <sz val="12"/>
        <rFont val="Times New Roman"/>
        <family val="1"/>
      </rPr>
      <t>)</t>
    </r>
  </si>
  <si>
    <r>
      <t>Qcmes</t>
    </r>
    <r>
      <rPr>
        <b/>
        <vertAlign val="subscript"/>
        <sz val="11"/>
        <color indexed="12"/>
        <rFont val="Times New Roman"/>
        <family val="1"/>
      </rPr>
      <t>s</t>
    </r>
  </si>
  <si>
    <r>
      <t>L/s/km</t>
    </r>
    <r>
      <rPr>
        <i/>
        <vertAlign val="superscript"/>
        <sz val="11"/>
        <rFont val="Times New Roman"/>
        <family val="1"/>
      </rPr>
      <t>2</t>
    </r>
  </si>
  <si>
    <r>
      <t>L/s/km</t>
    </r>
    <r>
      <rPr>
        <i/>
        <vertAlign val="superscript"/>
        <sz val="11"/>
        <color indexed="12"/>
        <rFont val="Times New Roman"/>
        <family val="1"/>
      </rPr>
      <t>2</t>
    </r>
  </si>
  <si>
    <t>Qcs</t>
  </si>
  <si>
    <r>
      <t>Qc</t>
    </r>
    <r>
      <rPr>
        <b/>
        <vertAlign val="subscript"/>
        <sz val="11"/>
        <color indexed="12"/>
        <rFont val="Times New Roman"/>
        <family val="1"/>
      </rPr>
      <t>s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</si>
</sst>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"/>
  </numFmts>
  <fonts count="3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SymbolProp BT"/>
      <family val="0"/>
    </font>
    <font>
      <vertAlign val="superscript"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b/>
      <vertAlign val="subscript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9"/>
      <name val="Arial"/>
      <family val="0"/>
    </font>
    <font>
      <i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i/>
      <vertAlign val="superscript"/>
      <sz val="11"/>
      <color indexed="12"/>
      <name val="Times New Roman"/>
      <family val="1"/>
    </font>
    <font>
      <b/>
      <sz val="13.75"/>
      <name val="Times New Roman"/>
      <family val="1"/>
    </font>
    <font>
      <b/>
      <vertAlign val="superscript"/>
      <sz val="13.75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dashed"/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168" fontId="3" fillId="5" borderId="1" xfId="0" applyNumberFormat="1" applyFont="1" applyFill="1" applyBorder="1" applyAlignment="1">
      <alignment horizontal="center"/>
    </xf>
    <xf numFmtId="168" fontId="3" fillId="5" borderId="15" xfId="0" applyNumberFormat="1" applyFont="1" applyFill="1" applyBorder="1" applyAlignment="1">
      <alignment horizontal="center"/>
    </xf>
    <xf numFmtId="168" fontId="3" fillId="5" borderId="2" xfId="0" applyNumberFormat="1" applyFont="1" applyFill="1" applyBorder="1" applyAlignment="1">
      <alignment horizontal="center"/>
    </xf>
    <xf numFmtId="168" fontId="3" fillId="4" borderId="3" xfId="0" applyNumberFormat="1" applyFont="1" applyFill="1" applyBorder="1" applyAlignment="1">
      <alignment horizontal="center"/>
    </xf>
    <xf numFmtId="168" fontId="3" fillId="4" borderId="16" xfId="0" applyNumberFormat="1" applyFont="1" applyFill="1" applyBorder="1" applyAlignment="1">
      <alignment horizontal="center"/>
    </xf>
    <xf numFmtId="168" fontId="3" fillId="4" borderId="4" xfId="0" applyNumberFormat="1" applyFont="1" applyFill="1" applyBorder="1" applyAlignment="1">
      <alignment horizontal="center"/>
    </xf>
    <xf numFmtId="168" fontId="3" fillId="5" borderId="3" xfId="0" applyNumberFormat="1" applyFont="1" applyFill="1" applyBorder="1" applyAlignment="1">
      <alignment horizontal="center"/>
    </xf>
    <xf numFmtId="168" fontId="3" fillId="5" borderId="16" xfId="0" applyNumberFormat="1" applyFont="1" applyFill="1" applyBorder="1" applyAlignment="1">
      <alignment horizontal="center"/>
    </xf>
    <xf numFmtId="168" fontId="3" fillId="5" borderId="4" xfId="0" applyNumberFormat="1" applyFont="1" applyFill="1" applyBorder="1" applyAlignment="1">
      <alignment horizontal="center"/>
    </xf>
    <xf numFmtId="168" fontId="3" fillId="3" borderId="5" xfId="0" applyNumberFormat="1" applyFont="1" applyFill="1" applyBorder="1" applyAlignment="1">
      <alignment horizontal="center"/>
    </xf>
    <xf numFmtId="168" fontId="3" fillId="3" borderId="17" xfId="0" applyNumberFormat="1" applyFont="1" applyFill="1" applyBorder="1" applyAlignment="1">
      <alignment horizontal="center"/>
    </xf>
    <xf numFmtId="168" fontId="3" fillId="3" borderId="6" xfId="0" applyNumberFormat="1" applyFont="1" applyFill="1" applyBorder="1" applyAlignment="1">
      <alignment horizontal="center"/>
    </xf>
    <xf numFmtId="3" fontId="3" fillId="6" borderId="2" xfId="0" applyNumberFormat="1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7" borderId="4" xfId="0" applyFont="1" applyFill="1" applyBorder="1" applyAlignment="1">
      <alignment/>
    </xf>
    <xf numFmtId="1" fontId="3" fillId="0" borderId="1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5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 quotePrefix="1">
      <alignment/>
    </xf>
    <xf numFmtId="1" fontId="3" fillId="5" borderId="3" xfId="0" applyNumberFormat="1" applyFont="1" applyFill="1" applyBorder="1" applyAlignment="1">
      <alignment horizontal="center"/>
    </xf>
    <xf numFmtId="1" fontId="3" fillId="5" borderId="16" xfId="0" applyNumberFormat="1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3" borderId="2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10" fillId="4" borderId="1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1" fontId="3" fillId="5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2" fontId="13" fillId="8" borderId="28" xfId="0" applyNumberFormat="1" applyFont="1" applyFill="1" applyBorder="1" applyAlignment="1">
      <alignment horizontal="center" vertical="center"/>
    </xf>
    <xf numFmtId="2" fontId="13" fillId="8" borderId="1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2" fontId="13" fillId="8" borderId="15" xfId="0" applyNumberFormat="1" applyFont="1" applyFill="1" applyBorder="1" applyAlignment="1">
      <alignment vertical="center"/>
    </xf>
    <xf numFmtId="2" fontId="13" fillId="8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vertical="center"/>
    </xf>
    <xf numFmtId="2" fontId="13" fillId="8" borderId="31" xfId="0" applyNumberFormat="1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68" fontId="3" fillId="9" borderId="35" xfId="0" applyNumberFormat="1" applyFont="1" applyFill="1" applyBorder="1" applyAlignment="1">
      <alignment horizontal="center" vertical="center"/>
    </xf>
    <xf numFmtId="168" fontId="3" fillId="9" borderId="28" xfId="0" applyNumberFormat="1" applyFont="1" applyFill="1" applyBorder="1" applyAlignment="1">
      <alignment horizontal="center" vertical="center"/>
    </xf>
    <xf numFmtId="168" fontId="3" fillId="9" borderId="36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168" fontId="3" fillId="9" borderId="37" xfId="0" applyNumberFormat="1" applyFont="1" applyFill="1" applyBorder="1" applyAlignment="1">
      <alignment horizontal="center" vertical="center"/>
    </xf>
    <xf numFmtId="168" fontId="3" fillId="9" borderId="8" xfId="0" applyNumberFormat="1" applyFont="1" applyFill="1" applyBorder="1" applyAlignment="1">
      <alignment horizontal="center" vertical="center"/>
    </xf>
    <xf numFmtId="0" fontId="21" fillId="10" borderId="35" xfId="0" applyFont="1" applyFill="1" applyBorder="1" applyAlignment="1">
      <alignment vertical="center"/>
    </xf>
    <xf numFmtId="169" fontId="23" fillId="10" borderId="28" xfId="0" applyNumberFormat="1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21" fillId="10" borderId="5" xfId="0" applyFont="1" applyFill="1" applyBorder="1" applyAlignment="1">
      <alignment vertical="center"/>
    </xf>
    <xf numFmtId="3" fontId="21" fillId="10" borderId="17" xfId="0" applyNumberFormat="1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169" fontId="16" fillId="10" borderId="1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vertical="center"/>
    </xf>
    <xf numFmtId="3" fontId="2" fillId="10" borderId="6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168" fontId="20" fillId="4" borderId="31" xfId="0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vertical="center"/>
    </xf>
    <xf numFmtId="0" fontId="19" fillId="4" borderId="38" xfId="0" applyFont="1" applyFill="1" applyBorder="1" applyAlignment="1">
      <alignment vertical="center"/>
    </xf>
    <xf numFmtId="168" fontId="19" fillId="4" borderId="27" xfId="0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168" fontId="20" fillId="4" borderId="28" xfId="0" applyNumberFormat="1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3" fontId="3" fillId="4" borderId="31" xfId="0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168" fontId="3" fillId="0" borderId="28" xfId="0" applyNumberFormat="1" applyFont="1" applyFill="1" applyBorder="1" applyAlignment="1">
      <alignment horizontal="center" vertical="center"/>
    </xf>
    <xf numFmtId="168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68" fontId="23" fillId="10" borderId="1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8" xfId="0" applyBorder="1" applyAlignment="1">
      <alignment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3" fontId="3" fillId="6" borderId="4" xfId="0" applyNumberFormat="1" applyFont="1" applyFill="1" applyBorder="1" applyAlignment="1" applyProtection="1">
      <alignment horizontal="center" vertical="center"/>
      <protection locked="0"/>
    </xf>
    <xf numFmtId="168" fontId="3" fillId="6" borderId="4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Occidentale!$F$10:$Q$10</c:f>
              <c:strCache/>
            </c:strRef>
          </c:cat>
          <c:val>
            <c:numRef>
              <c:f>Occidentale!$F$19:$Q$19</c:f>
              <c:numCache/>
            </c:numRef>
          </c:val>
        </c:ser>
        <c:gapWidth val="60"/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75" b="1" i="0" u="none" baseline="0"/>
            </a:pPr>
          </a:p>
        </c:txPr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/>
                  <a:t>L/s/km</a:t>
                </a:r>
                <a:r>
                  <a:rPr lang="en-US" cap="none" sz="1375" b="1" i="0" u="none" baseline="30000"/>
                  <a:t>2</a:t>
                </a:r>
              </a:p>
            </c:rich>
          </c:tx>
          <c:layout>
            <c:manualLayout>
              <c:xMode val="factor"/>
              <c:yMode val="factor"/>
              <c:x val="0.0462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75" b="1" i="0" u="none" baseline="0"/>
            </a:pPr>
          </a:p>
        </c:txPr>
        <c:crossAx val="6118992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CC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14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5019675" y="5200650"/>
        <a:ext cx="6505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workbookViewId="0" topLeftCell="A1">
      <selection activeCell="K3" sqref="K3"/>
    </sheetView>
  </sheetViews>
  <sheetFormatPr defaultColWidth="9.140625" defaultRowHeight="12.75"/>
  <cols>
    <col min="1" max="1" width="2.57421875" style="81" customWidth="1"/>
    <col min="2" max="2" width="45.7109375" style="81" customWidth="1"/>
    <col min="3" max="3" width="17.8515625" style="81" customWidth="1"/>
    <col min="4" max="4" width="9.140625" style="81" customWidth="1"/>
    <col min="5" max="5" width="10.140625" style="81" customWidth="1"/>
    <col min="6" max="17" width="9.7109375" style="81" customWidth="1"/>
    <col min="18" max="18" width="8.140625" style="96" customWidth="1"/>
    <col min="19" max="19" width="9.7109375" style="81" customWidth="1"/>
    <col min="20" max="21" width="8.7109375" style="81" customWidth="1"/>
    <col min="22" max="16384" width="9.140625" style="81" customWidth="1"/>
  </cols>
  <sheetData>
    <row r="1" spans="1:19" ht="19.5" customHeight="1" thickBot="1">
      <c r="A1" s="165"/>
      <c r="B1" s="163"/>
      <c r="C1" s="163"/>
      <c r="D1" s="189"/>
      <c r="E1" s="163"/>
      <c r="F1" s="163"/>
      <c r="G1" s="163"/>
      <c r="H1" s="164"/>
      <c r="I1" s="110"/>
      <c r="J1" s="110"/>
      <c r="K1" s="110"/>
      <c r="L1" s="110"/>
      <c r="M1" s="110"/>
      <c r="N1" s="110"/>
      <c r="O1" s="110"/>
      <c r="P1" s="110"/>
      <c r="Q1" s="110"/>
      <c r="R1" s="119"/>
      <c r="S1" s="114"/>
    </row>
    <row r="2" spans="1:19" ht="19.5" customHeight="1">
      <c r="A2" s="166"/>
      <c r="B2" s="82" t="s">
        <v>23</v>
      </c>
      <c r="C2" s="83" t="s">
        <v>18</v>
      </c>
      <c r="D2" s="166"/>
      <c r="E2" s="84" t="s">
        <v>39</v>
      </c>
      <c r="F2" s="201"/>
      <c r="G2" s="120" t="s">
        <v>18</v>
      </c>
      <c r="H2" s="115"/>
      <c r="I2" s="113"/>
      <c r="J2" s="113"/>
      <c r="K2" s="113"/>
      <c r="L2" s="113"/>
      <c r="M2" s="113"/>
      <c r="N2" s="113"/>
      <c r="O2" s="113"/>
      <c r="P2" s="113"/>
      <c r="Q2" s="113"/>
      <c r="R2" s="118"/>
      <c r="S2" s="115"/>
    </row>
    <row r="3" spans="1:19" ht="19.5" customHeight="1">
      <c r="A3" s="166"/>
      <c r="B3" s="85" t="s">
        <v>24</v>
      </c>
      <c r="C3" s="86" t="s">
        <v>19</v>
      </c>
      <c r="D3" s="166"/>
      <c r="E3" s="87" t="s">
        <v>38</v>
      </c>
      <c r="F3" s="202"/>
      <c r="G3" s="104" t="s">
        <v>19</v>
      </c>
      <c r="H3" s="115"/>
      <c r="I3" s="113"/>
      <c r="J3" s="113"/>
      <c r="K3" s="113"/>
      <c r="L3" s="113"/>
      <c r="M3" s="113"/>
      <c r="N3" s="113"/>
      <c r="O3" s="113"/>
      <c r="P3" s="113"/>
      <c r="Q3" s="113"/>
      <c r="R3" s="118"/>
      <c r="S3" s="115"/>
    </row>
    <row r="4" spans="1:19" ht="19.5" customHeight="1" thickBot="1">
      <c r="A4" s="166"/>
      <c r="B4" s="88" t="s">
        <v>25</v>
      </c>
      <c r="C4" s="89" t="s">
        <v>103</v>
      </c>
      <c r="D4" s="166"/>
      <c r="E4" s="87" t="s">
        <v>40</v>
      </c>
      <c r="F4" s="203"/>
      <c r="G4" s="104" t="s">
        <v>158</v>
      </c>
      <c r="H4" s="116"/>
      <c r="I4" s="117"/>
      <c r="J4" s="117"/>
      <c r="K4" s="117"/>
      <c r="L4" s="117"/>
      <c r="M4" s="117"/>
      <c r="N4" s="113"/>
      <c r="O4" s="113"/>
      <c r="P4" s="113"/>
      <c r="Q4" s="113"/>
      <c r="R4" s="118"/>
      <c r="S4" s="115"/>
    </row>
    <row r="5" spans="1:19" ht="19.5" customHeight="1" thickBot="1">
      <c r="A5" s="115"/>
      <c r="B5" s="167"/>
      <c r="C5" s="168"/>
      <c r="D5" s="190"/>
      <c r="E5" s="144" t="s">
        <v>153</v>
      </c>
      <c r="F5" s="145">
        <f>(-24.5694+0.0086*F3+0.03416*F2)*0.93</f>
        <v>-22.849542000000003</v>
      </c>
      <c r="G5" s="122" t="s">
        <v>162</v>
      </c>
      <c r="H5" s="198" t="s">
        <v>160</v>
      </c>
      <c r="I5" s="199"/>
      <c r="J5" s="199"/>
      <c r="K5" s="199"/>
      <c r="L5" s="199"/>
      <c r="M5" s="200"/>
      <c r="N5" s="115"/>
      <c r="O5" s="113"/>
      <c r="P5" s="113"/>
      <c r="Q5" s="113"/>
      <c r="R5" s="118"/>
      <c r="S5" s="115"/>
    </row>
    <row r="6" spans="1:19" ht="19.5" customHeight="1" thickBot="1">
      <c r="A6" s="166"/>
      <c r="B6" s="90" t="s">
        <v>118</v>
      </c>
      <c r="C6" s="123" t="s">
        <v>162</v>
      </c>
      <c r="D6" s="166"/>
      <c r="E6" s="146" t="s">
        <v>42</v>
      </c>
      <c r="F6" s="147">
        <f>F5*F4</f>
        <v>0</v>
      </c>
      <c r="G6" s="121" t="s">
        <v>101</v>
      </c>
      <c r="H6" s="114"/>
      <c r="I6" s="110"/>
      <c r="J6" s="110"/>
      <c r="K6" s="110"/>
      <c r="L6" s="110"/>
      <c r="M6" s="110"/>
      <c r="N6" s="113"/>
      <c r="O6" s="113"/>
      <c r="P6" s="113"/>
      <c r="Q6" s="113"/>
      <c r="R6" s="118"/>
      <c r="S6" s="115"/>
    </row>
    <row r="7" spans="1:19" ht="19.5" customHeight="1">
      <c r="A7" s="166"/>
      <c r="B7" s="91" t="s">
        <v>27</v>
      </c>
      <c r="C7" s="92" t="s">
        <v>101</v>
      </c>
      <c r="D7" s="166"/>
      <c r="E7" s="111" t="s">
        <v>38</v>
      </c>
      <c r="F7" s="108">
        <f>$F$3</f>
        <v>0</v>
      </c>
      <c r="G7" s="108">
        <f aca="true" t="shared" si="0" ref="G7:Q7">$F$3</f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0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18"/>
      <c r="S7" s="115"/>
    </row>
    <row r="8" spans="1:19" ht="19.5" customHeight="1">
      <c r="A8" s="166"/>
      <c r="B8" s="93" t="s">
        <v>116</v>
      </c>
      <c r="C8" s="124" t="s">
        <v>162</v>
      </c>
      <c r="D8" s="166"/>
      <c r="E8" s="112" t="s">
        <v>41</v>
      </c>
      <c r="F8" s="109">
        <f aca="true" t="shared" si="1" ref="F8:Q8">$F$5</f>
        <v>-22.849542000000003</v>
      </c>
      <c r="G8" s="109">
        <f t="shared" si="1"/>
        <v>-22.849542000000003</v>
      </c>
      <c r="H8" s="109">
        <f t="shared" si="1"/>
        <v>-22.849542000000003</v>
      </c>
      <c r="I8" s="109">
        <f t="shared" si="1"/>
        <v>-22.849542000000003</v>
      </c>
      <c r="J8" s="109">
        <f t="shared" si="1"/>
        <v>-22.849542000000003</v>
      </c>
      <c r="K8" s="109">
        <f t="shared" si="1"/>
        <v>-22.849542000000003</v>
      </c>
      <c r="L8" s="109">
        <f t="shared" si="1"/>
        <v>-22.849542000000003</v>
      </c>
      <c r="M8" s="109">
        <f t="shared" si="1"/>
        <v>-22.849542000000003</v>
      </c>
      <c r="N8" s="109">
        <f t="shared" si="1"/>
        <v>-22.849542000000003</v>
      </c>
      <c r="O8" s="109">
        <f t="shared" si="1"/>
        <v>-22.849542000000003</v>
      </c>
      <c r="P8" s="109">
        <f t="shared" si="1"/>
        <v>-22.849542000000003</v>
      </c>
      <c r="Q8" s="109">
        <f t="shared" si="1"/>
        <v>-22.849542000000003</v>
      </c>
      <c r="R8" s="118"/>
      <c r="S8" s="115"/>
    </row>
    <row r="9" spans="1:19" ht="19.5" customHeight="1" thickBot="1">
      <c r="A9" s="166"/>
      <c r="B9" s="91" t="s">
        <v>117</v>
      </c>
      <c r="C9" s="92" t="s">
        <v>101</v>
      </c>
      <c r="D9" s="166"/>
      <c r="E9" s="112" t="s">
        <v>40</v>
      </c>
      <c r="F9" s="126">
        <f aca="true" t="shared" si="2" ref="F9:Q9">$F$4</f>
        <v>0</v>
      </c>
      <c r="G9" s="126">
        <f t="shared" si="2"/>
        <v>0</v>
      </c>
      <c r="H9" s="126">
        <f t="shared" si="2"/>
        <v>0</v>
      </c>
      <c r="I9" s="126">
        <f t="shared" si="2"/>
        <v>0</v>
      </c>
      <c r="J9" s="126">
        <f t="shared" si="2"/>
        <v>0</v>
      </c>
      <c r="K9" s="126">
        <f t="shared" si="2"/>
        <v>0</v>
      </c>
      <c r="L9" s="126">
        <f t="shared" si="2"/>
        <v>0</v>
      </c>
      <c r="M9" s="126">
        <f t="shared" si="2"/>
        <v>0</v>
      </c>
      <c r="N9" s="126">
        <f t="shared" si="2"/>
        <v>0</v>
      </c>
      <c r="O9" s="126">
        <f t="shared" si="2"/>
        <v>0</v>
      </c>
      <c r="P9" s="126">
        <f t="shared" si="2"/>
        <v>0</v>
      </c>
      <c r="Q9" s="126">
        <f t="shared" si="2"/>
        <v>0</v>
      </c>
      <c r="R9" s="118"/>
      <c r="S9" s="115"/>
    </row>
    <row r="10" spans="1:19" ht="19.5" customHeight="1" thickBot="1">
      <c r="A10" s="166"/>
      <c r="B10" s="93" t="s">
        <v>119</v>
      </c>
      <c r="C10" s="124" t="s">
        <v>162</v>
      </c>
      <c r="D10" s="166"/>
      <c r="E10" s="125"/>
      <c r="F10" s="160" t="s">
        <v>45</v>
      </c>
      <c r="G10" s="161" t="s">
        <v>46</v>
      </c>
      <c r="H10" s="161" t="s">
        <v>47</v>
      </c>
      <c r="I10" s="161" t="s">
        <v>48</v>
      </c>
      <c r="J10" s="161" t="s">
        <v>49</v>
      </c>
      <c r="K10" s="161" t="s">
        <v>50</v>
      </c>
      <c r="L10" s="161" t="s">
        <v>51</v>
      </c>
      <c r="M10" s="161" t="s">
        <v>52</v>
      </c>
      <c r="N10" s="161" t="s">
        <v>53</v>
      </c>
      <c r="O10" s="161" t="s">
        <v>54</v>
      </c>
      <c r="P10" s="161" t="s">
        <v>55</v>
      </c>
      <c r="Q10" s="162" t="s">
        <v>56</v>
      </c>
      <c r="R10" s="106"/>
      <c r="S10" s="115"/>
    </row>
    <row r="11" spans="1:19" ht="19.5" customHeight="1" thickBot="1">
      <c r="A11" s="166"/>
      <c r="B11" s="91" t="s">
        <v>120</v>
      </c>
      <c r="C11" s="92" t="s">
        <v>101</v>
      </c>
      <c r="D11" s="166"/>
      <c r="E11" s="127"/>
      <c r="F11" s="130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  <c r="R11" s="128"/>
      <c r="S11" s="115"/>
    </row>
    <row r="12" spans="1:19" ht="19.5" customHeight="1" thickBot="1">
      <c r="A12" s="166"/>
      <c r="B12" s="93" t="s">
        <v>121</v>
      </c>
      <c r="C12" s="124" t="s">
        <v>162</v>
      </c>
      <c r="D12" s="166"/>
      <c r="E12" s="148" t="s">
        <v>130</v>
      </c>
      <c r="F12" s="149">
        <f>14.16232-0.00683*F7+0.36918*F8</f>
        <v>5.726726084439997</v>
      </c>
      <c r="G12" s="149">
        <f>16.49263-0.00824*G7+0.37478*G8</f>
        <v>7.929078649239997</v>
      </c>
      <c r="H12" s="149">
        <f>22.74646-0.01111*H7+0.46902*H8</f>
        <v>12.029567811159998</v>
      </c>
      <c r="I12" s="149">
        <f>13.85406-0.01101*I7+1.15662*I8</f>
        <v>-12.574177268040003</v>
      </c>
      <c r="J12" s="149">
        <f>-9.83665+0.00797*J7+1.63288*J8</f>
        <v>-47.147210140960006</v>
      </c>
      <c r="K12" s="149">
        <f>-34.9228+0.02826*K7+1.6219*K8</f>
        <v>-71.9824721698</v>
      </c>
      <c r="L12" s="149">
        <f>-24.4942+0.02066*L7+1.04446*L8</f>
        <v>-48.359632637320004</v>
      </c>
      <c r="M12" s="149">
        <f>-16.0687+0.00955*M7+0.95881*M8</f>
        <v>-37.97706936502</v>
      </c>
      <c r="N12" s="149">
        <f>-13.0179+0.00232*N7+1.21272*N8</f>
        <v>-40.72799657424</v>
      </c>
      <c r="O12" s="149">
        <f>-4.54832-0.00479*O7+1.33784*O8</f>
        <v>-35.11735126928001</v>
      </c>
      <c r="P12" s="149">
        <f>16.50714-0.01604*P7+1.25843*P8</f>
        <v>-12.247409139060004</v>
      </c>
      <c r="Q12" s="149">
        <f>18.06197-0.0103*Q7+0.56036*Q8</f>
        <v>5.258000644879997</v>
      </c>
      <c r="R12" s="150" t="s">
        <v>162</v>
      </c>
      <c r="S12" s="115"/>
    </row>
    <row r="13" spans="1:19" ht="19.5" customHeight="1" thickBot="1">
      <c r="A13" s="166"/>
      <c r="B13" s="91" t="s">
        <v>122</v>
      </c>
      <c r="C13" s="92" t="s">
        <v>101</v>
      </c>
      <c r="D13" s="166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29"/>
      <c r="S13" s="115"/>
    </row>
    <row r="14" spans="1:19" ht="19.5" customHeight="1" thickBot="1">
      <c r="A14" s="166"/>
      <c r="B14" s="93" t="s">
        <v>123</v>
      </c>
      <c r="C14" s="124" t="s">
        <v>162</v>
      </c>
      <c r="D14" s="166"/>
      <c r="E14" s="151" t="s">
        <v>154</v>
      </c>
      <c r="F14" s="152">
        <v>1.11</v>
      </c>
      <c r="G14" s="152">
        <v>1.1</v>
      </c>
      <c r="H14" s="152">
        <v>1.08</v>
      </c>
      <c r="I14" s="152">
        <v>1.23</v>
      </c>
      <c r="J14" s="152">
        <v>1.14</v>
      </c>
      <c r="K14" s="152">
        <v>0.98</v>
      </c>
      <c r="L14" s="152">
        <v>0.79</v>
      </c>
      <c r="M14" s="152">
        <v>0.73</v>
      </c>
      <c r="N14" s="152">
        <v>0.87</v>
      </c>
      <c r="O14" s="152">
        <v>1.11</v>
      </c>
      <c r="P14" s="152">
        <v>1.2</v>
      </c>
      <c r="Q14" s="152">
        <v>1.1</v>
      </c>
      <c r="R14" s="153" t="s">
        <v>159</v>
      </c>
      <c r="S14" s="115"/>
    </row>
    <row r="15" spans="1:19" ht="19.5" customHeight="1" thickBot="1">
      <c r="A15" s="166"/>
      <c r="B15" s="91" t="s">
        <v>124</v>
      </c>
      <c r="C15" s="105" t="s">
        <v>101</v>
      </c>
      <c r="D15" s="166"/>
      <c r="E15" s="133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29"/>
      <c r="S15" s="115"/>
    </row>
    <row r="16" spans="1:19" ht="19.5" customHeight="1">
      <c r="A16" s="166"/>
      <c r="B16" s="93" t="s">
        <v>125</v>
      </c>
      <c r="C16" s="124" t="s">
        <v>162</v>
      </c>
      <c r="D16" s="166"/>
      <c r="E16" s="154" t="s">
        <v>155</v>
      </c>
      <c r="F16" s="155">
        <f>F12*F14</f>
        <v>6.356665953728398</v>
      </c>
      <c r="G16" s="155">
        <f aca="true" t="shared" si="3" ref="G16:Q16">G12*G14</f>
        <v>8.721986514163998</v>
      </c>
      <c r="H16" s="155">
        <f t="shared" si="3"/>
        <v>12.991933236052798</v>
      </c>
      <c r="I16" s="155">
        <f t="shared" si="3"/>
        <v>-15.466238039689204</v>
      </c>
      <c r="J16" s="155">
        <f t="shared" si="3"/>
        <v>-53.7478195606944</v>
      </c>
      <c r="K16" s="155">
        <f t="shared" si="3"/>
        <v>-70.542822726404</v>
      </c>
      <c r="L16" s="155">
        <f t="shared" si="3"/>
        <v>-38.20410978348281</v>
      </c>
      <c r="M16" s="155">
        <f t="shared" si="3"/>
        <v>-27.723260636464598</v>
      </c>
      <c r="N16" s="155">
        <f t="shared" si="3"/>
        <v>-35.433357019588804</v>
      </c>
      <c r="O16" s="155">
        <f t="shared" si="3"/>
        <v>-38.98025990890081</v>
      </c>
      <c r="P16" s="155">
        <f t="shared" si="3"/>
        <v>-14.696890966872004</v>
      </c>
      <c r="Q16" s="155">
        <f t="shared" si="3"/>
        <v>5.7838007093679975</v>
      </c>
      <c r="R16" s="156" t="s">
        <v>162</v>
      </c>
      <c r="S16" s="197">
        <f>AVERAGEA(F16:Q16)</f>
        <v>-21.74503101906529</v>
      </c>
    </row>
    <row r="17" spans="1:19" ht="19.5" customHeight="1" thickBot="1">
      <c r="A17" s="166"/>
      <c r="B17" s="91" t="s">
        <v>60</v>
      </c>
      <c r="C17" s="92" t="s">
        <v>101</v>
      </c>
      <c r="D17" s="166"/>
      <c r="E17" s="157" t="s">
        <v>157</v>
      </c>
      <c r="F17" s="158">
        <f>F16*100/$S$16</f>
        <v>-29.23272883885561</v>
      </c>
      <c r="G17" s="158">
        <f aca="true" t="shared" si="4" ref="G17:Q17">G16*100/$S$16</f>
        <v>-40.11025096499914</v>
      </c>
      <c r="H17" s="158">
        <f t="shared" si="4"/>
        <v>-59.74667603215613</v>
      </c>
      <c r="I17" s="158">
        <f t="shared" si="4"/>
        <v>71.12538964018465</v>
      </c>
      <c r="J17" s="158">
        <f t="shared" si="4"/>
        <v>247.1728806161287</v>
      </c>
      <c r="K17" s="158">
        <f t="shared" si="4"/>
        <v>324.4089312383804</v>
      </c>
      <c r="L17" s="158">
        <f t="shared" si="4"/>
        <v>175.69121768548763</v>
      </c>
      <c r="M17" s="158">
        <f t="shared" si="4"/>
        <v>127.4923940653743</v>
      </c>
      <c r="N17" s="158">
        <f t="shared" si="4"/>
        <v>162.94921349397967</v>
      </c>
      <c r="O17" s="158">
        <f t="shared" si="4"/>
        <v>179.26053945255018</v>
      </c>
      <c r="P17" s="158">
        <f t="shared" si="4"/>
        <v>67.5873534233466</v>
      </c>
      <c r="Q17" s="158">
        <f t="shared" si="4"/>
        <v>-26.598263779421426</v>
      </c>
      <c r="R17" s="159" t="s">
        <v>102</v>
      </c>
      <c r="S17" s="115"/>
    </row>
    <row r="18" spans="1:19" ht="19.5" customHeight="1" thickBot="1">
      <c r="A18" s="166"/>
      <c r="B18" s="93" t="s">
        <v>126</v>
      </c>
      <c r="C18" s="124" t="s">
        <v>162</v>
      </c>
      <c r="D18" s="166"/>
      <c r="E18" s="133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29"/>
      <c r="S18" s="115"/>
    </row>
    <row r="19" spans="1:19" ht="19.5" customHeight="1" thickBot="1">
      <c r="A19" s="166"/>
      <c r="B19" s="94" t="s">
        <v>127</v>
      </c>
      <c r="C19" s="95" t="s">
        <v>101</v>
      </c>
      <c r="D19" s="166"/>
      <c r="E19" s="138" t="s">
        <v>161</v>
      </c>
      <c r="F19" s="139">
        <f>F17*$F$5/100</f>
        <v>6.679544653780426</v>
      </c>
      <c r="G19" s="139">
        <f aca="true" t="shared" si="5" ref="G19:Q19">G17*$F$5/100</f>
        <v>9.165008640552886</v>
      </c>
      <c r="H19" s="139">
        <f t="shared" si="5"/>
        <v>13.65184183357145</v>
      </c>
      <c r="I19" s="139">
        <f t="shared" si="5"/>
        <v>-16.251825778497643</v>
      </c>
      <c r="J19" s="139">
        <f t="shared" si="5"/>
        <v>-56.477871168992195</v>
      </c>
      <c r="K19" s="139">
        <f t="shared" si="5"/>
        <v>-74.12595499506486</v>
      </c>
      <c r="L19" s="139">
        <f t="shared" si="5"/>
        <v>-40.14463857535693</v>
      </c>
      <c r="M19" s="139">
        <f t="shared" si="5"/>
        <v>-29.131428128773212</v>
      </c>
      <c r="N19" s="139">
        <f t="shared" si="5"/>
        <v>-37.233148975976555</v>
      </c>
      <c r="O19" s="139">
        <f t="shared" si="5"/>
        <v>-40.96021225163703</v>
      </c>
      <c r="P19" s="139">
        <f t="shared" si="5"/>
        <v>-15.44340070715602</v>
      </c>
      <c r="Q19" s="139">
        <f t="shared" si="5"/>
        <v>6.077581453549687</v>
      </c>
      <c r="R19" s="140" t="s">
        <v>163</v>
      </c>
      <c r="S19" s="115"/>
    </row>
    <row r="20" spans="1:19" ht="19.5" customHeight="1" thickBot="1">
      <c r="A20" s="115"/>
      <c r="B20" s="107"/>
      <c r="C20" s="107"/>
      <c r="D20" s="190"/>
      <c r="E20" s="141" t="s">
        <v>156</v>
      </c>
      <c r="F20" s="142">
        <f>F19*$F$4</f>
        <v>0</v>
      </c>
      <c r="G20" s="142">
        <f aca="true" t="shared" si="6" ref="G20:Q20">G19*$F$4</f>
        <v>0</v>
      </c>
      <c r="H20" s="142">
        <f t="shared" si="6"/>
        <v>0</v>
      </c>
      <c r="I20" s="142">
        <f t="shared" si="6"/>
        <v>0</v>
      </c>
      <c r="J20" s="142">
        <f t="shared" si="6"/>
        <v>0</v>
      </c>
      <c r="K20" s="142">
        <f t="shared" si="6"/>
        <v>0</v>
      </c>
      <c r="L20" s="142">
        <f t="shared" si="6"/>
        <v>0</v>
      </c>
      <c r="M20" s="142">
        <f t="shared" si="6"/>
        <v>0</v>
      </c>
      <c r="N20" s="142">
        <f t="shared" si="6"/>
        <v>0</v>
      </c>
      <c r="O20" s="142">
        <f t="shared" si="6"/>
        <v>0</v>
      </c>
      <c r="P20" s="142">
        <f t="shared" si="6"/>
        <v>0</v>
      </c>
      <c r="Q20" s="142">
        <f t="shared" si="6"/>
        <v>0</v>
      </c>
      <c r="R20" s="143" t="s">
        <v>101</v>
      </c>
      <c r="S20" s="116"/>
    </row>
    <row r="21" spans="1:19" ht="19.5" customHeight="1" thickBot="1">
      <c r="A21" s="166"/>
      <c r="B21" s="97" t="s">
        <v>129</v>
      </c>
      <c r="C21" s="98" t="s">
        <v>128</v>
      </c>
      <c r="D21" s="180"/>
      <c r="E21" s="176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76"/>
      <c r="S21" s="175"/>
    </row>
    <row r="22" spans="1:19" ht="19.5" customHeight="1" thickBot="1">
      <c r="A22" s="115"/>
      <c r="B22" s="107"/>
      <c r="C22" s="107"/>
      <c r="D22" s="178"/>
      <c r="E22" s="179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79"/>
      <c r="S22" s="178"/>
    </row>
    <row r="23" spans="1:19" ht="19.5" customHeight="1">
      <c r="A23" s="166"/>
      <c r="B23" s="99" t="s">
        <v>104</v>
      </c>
      <c r="C23" s="100" t="s">
        <v>131</v>
      </c>
      <c r="D23" s="180"/>
      <c r="E23" s="179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79"/>
      <c r="S23" s="178"/>
    </row>
    <row r="24" spans="1:19" ht="19.5" customHeight="1">
      <c r="A24" s="166"/>
      <c r="B24" s="93" t="s">
        <v>105</v>
      </c>
      <c r="C24" s="101" t="s">
        <v>133</v>
      </c>
      <c r="D24" s="180"/>
      <c r="E24" s="179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79"/>
      <c r="S24" s="178"/>
    </row>
    <row r="25" spans="1:19" ht="19.5" customHeight="1">
      <c r="A25" s="166"/>
      <c r="B25" s="93" t="s">
        <v>106</v>
      </c>
      <c r="C25" s="101" t="s">
        <v>132</v>
      </c>
      <c r="D25" s="180"/>
      <c r="E25" s="179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79"/>
      <c r="S25" s="178"/>
    </row>
    <row r="26" spans="1:19" ht="19.5" customHeight="1">
      <c r="A26" s="166"/>
      <c r="B26" s="93" t="s">
        <v>107</v>
      </c>
      <c r="C26" s="101" t="s">
        <v>134</v>
      </c>
      <c r="D26" s="180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8"/>
    </row>
    <row r="27" spans="1:19" ht="19.5" customHeight="1">
      <c r="A27" s="166"/>
      <c r="B27" s="93" t="s">
        <v>108</v>
      </c>
      <c r="C27" s="101" t="s">
        <v>135</v>
      </c>
      <c r="D27" s="180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8"/>
    </row>
    <row r="28" spans="1:19" ht="19.5" customHeight="1">
      <c r="A28" s="166"/>
      <c r="B28" s="93" t="s">
        <v>109</v>
      </c>
      <c r="C28" s="101" t="s">
        <v>136</v>
      </c>
      <c r="D28" s="180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8"/>
    </row>
    <row r="29" spans="1:19" ht="19.5" customHeight="1">
      <c r="A29" s="166"/>
      <c r="B29" s="93" t="s">
        <v>110</v>
      </c>
      <c r="C29" s="101" t="s">
        <v>137</v>
      </c>
      <c r="D29" s="180"/>
      <c r="E29" s="188">
        <f>$F$5</f>
        <v>-22.849542000000003</v>
      </c>
      <c r="F29" s="181"/>
      <c r="G29" s="181"/>
      <c r="H29" s="181"/>
      <c r="I29" s="181"/>
      <c r="J29" s="181"/>
      <c r="K29" s="178"/>
      <c r="L29" s="187"/>
      <c r="M29" s="181"/>
      <c r="N29" s="181"/>
      <c r="O29" s="181"/>
      <c r="P29" s="181"/>
      <c r="Q29" s="181"/>
      <c r="R29" s="179"/>
      <c r="S29" s="178"/>
    </row>
    <row r="30" spans="1:19" ht="19.5" customHeight="1">
      <c r="A30" s="166"/>
      <c r="B30" s="93" t="s">
        <v>111</v>
      </c>
      <c r="C30" s="101" t="s">
        <v>138</v>
      </c>
      <c r="D30" s="180"/>
      <c r="E30" s="179"/>
      <c r="F30" s="186"/>
      <c r="G30" s="186"/>
      <c r="H30" s="186"/>
      <c r="I30" s="186"/>
      <c r="J30" s="186"/>
      <c r="K30" s="178"/>
      <c r="L30" s="179"/>
      <c r="M30" s="186"/>
      <c r="N30" s="186"/>
      <c r="O30" s="186"/>
      <c r="P30" s="186"/>
      <c r="Q30" s="186"/>
      <c r="R30" s="179"/>
      <c r="S30" s="178"/>
    </row>
    <row r="31" spans="1:19" ht="19.5" customHeight="1">
      <c r="A31" s="166"/>
      <c r="B31" s="93" t="s">
        <v>112</v>
      </c>
      <c r="C31" s="101" t="s">
        <v>139</v>
      </c>
      <c r="D31" s="180"/>
      <c r="E31" s="179"/>
      <c r="F31" s="186"/>
      <c r="G31" s="186"/>
      <c r="H31" s="186"/>
      <c r="I31" s="186"/>
      <c r="J31" s="186"/>
      <c r="K31" s="178"/>
      <c r="L31" s="179"/>
      <c r="M31" s="186"/>
      <c r="N31" s="186"/>
      <c r="O31" s="186"/>
      <c r="P31" s="186"/>
      <c r="Q31" s="186"/>
      <c r="R31" s="179"/>
      <c r="S31" s="178"/>
    </row>
    <row r="32" spans="1:19" ht="19.5" customHeight="1">
      <c r="A32" s="166"/>
      <c r="B32" s="93" t="s">
        <v>113</v>
      </c>
      <c r="C32" s="101" t="s">
        <v>140</v>
      </c>
      <c r="D32" s="180"/>
      <c r="E32" s="179"/>
      <c r="F32" s="186"/>
      <c r="G32" s="186"/>
      <c r="H32" s="186"/>
      <c r="I32" s="186"/>
      <c r="J32" s="186"/>
      <c r="K32" s="178"/>
      <c r="L32" s="179"/>
      <c r="M32" s="186"/>
      <c r="N32" s="186"/>
      <c r="O32" s="186"/>
      <c r="P32" s="186"/>
      <c r="Q32" s="186"/>
      <c r="R32" s="179"/>
      <c r="S32" s="178"/>
    </row>
    <row r="33" spans="1:19" ht="19.5" customHeight="1">
      <c r="A33" s="166"/>
      <c r="B33" s="93" t="s">
        <v>114</v>
      </c>
      <c r="C33" s="101" t="s">
        <v>141</v>
      </c>
      <c r="D33" s="180"/>
      <c r="E33" s="179"/>
      <c r="F33" s="186"/>
      <c r="G33" s="186"/>
      <c r="H33" s="186"/>
      <c r="I33" s="186"/>
      <c r="J33" s="186"/>
      <c r="K33" s="178"/>
      <c r="L33" s="179"/>
      <c r="M33" s="186"/>
      <c r="N33" s="186"/>
      <c r="O33" s="186"/>
      <c r="P33" s="186"/>
      <c r="Q33" s="186"/>
      <c r="R33" s="179"/>
      <c r="S33" s="178"/>
    </row>
    <row r="34" spans="1:20" ht="19.5" customHeight="1" thickBot="1">
      <c r="A34" s="166"/>
      <c r="B34" s="102" t="s">
        <v>115</v>
      </c>
      <c r="C34" s="103" t="s">
        <v>142</v>
      </c>
      <c r="D34" s="180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8"/>
      <c r="T34" s="171"/>
    </row>
    <row r="35" spans="1:20" ht="19.5" customHeight="1" thickBot="1">
      <c r="A35" s="169"/>
      <c r="B35" s="170"/>
      <c r="C35" s="170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9"/>
      <c r="S35" s="178"/>
      <c r="T35" s="171"/>
    </row>
    <row r="36" spans="1:20" ht="19.5" customHeight="1">
      <c r="A36" s="166"/>
      <c r="B36" s="99" t="s">
        <v>148</v>
      </c>
      <c r="C36" s="100" t="s">
        <v>143</v>
      </c>
      <c r="D36" s="180"/>
      <c r="E36" s="178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78"/>
      <c r="T36" s="172"/>
    </row>
    <row r="37" spans="1:20" ht="19.5" customHeight="1" thickBot="1">
      <c r="A37" s="166"/>
      <c r="B37" s="93" t="s">
        <v>149</v>
      </c>
      <c r="C37" s="101" t="s">
        <v>144</v>
      </c>
      <c r="D37" s="180"/>
      <c r="E37" s="179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78"/>
      <c r="T37" s="173"/>
    </row>
    <row r="38" spans="1:20" ht="19.5" customHeight="1" thickBot="1">
      <c r="A38" s="166"/>
      <c r="B38" s="93" t="s">
        <v>150</v>
      </c>
      <c r="C38" s="101" t="s">
        <v>145</v>
      </c>
      <c r="D38" s="180"/>
      <c r="E38" s="195"/>
      <c r="F38" s="191">
        <v>10</v>
      </c>
      <c r="G38" s="192">
        <v>91</v>
      </c>
      <c r="H38" s="192">
        <v>182</v>
      </c>
      <c r="I38" s="192">
        <v>274</v>
      </c>
      <c r="J38" s="193">
        <v>355</v>
      </c>
      <c r="K38" s="182"/>
      <c r="L38" s="182"/>
      <c r="M38" s="182"/>
      <c r="N38" s="182"/>
      <c r="O38" s="182"/>
      <c r="P38" s="182"/>
      <c r="Q38" s="182"/>
      <c r="R38" s="182"/>
      <c r="S38" s="178"/>
      <c r="T38" s="173"/>
    </row>
    <row r="39" spans="1:20" ht="19.5" customHeight="1">
      <c r="A39" s="166"/>
      <c r="B39" s="93" t="s">
        <v>151</v>
      </c>
      <c r="C39" s="101" t="s">
        <v>146</v>
      </c>
      <c r="D39" s="180"/>
      <c r="E39" s="196" t="s">
        <v>165</v>
      </c>
      <c r="F39" s="194" t="e">
        <f>(5.06749*$F$4^(-0.057871)*$F$5^(0.965037))*1.13</f>
        <v>#DIV/0!</v>
      </c>
      <c r="G39" s="194" t="e">
        <f>(1.29772*$F$4^(0.009539)*$F$5^(0.976926))*0.9</f>
        <v>#NUM!</v>
      </c>
      <c r="H39" s="194" t="e">
        <f>(0.54425*$F$4^(0.049132)*$F$5^(0.980135))*0.91</f>
        <v>#NUM!</v>
      </c>
      <c r="I39" s="194" t="e">
        <f>(0.1867*$F$4^(0.069105)*$F$5^(1.108675))*1.08</f>
        <v>#NUM!</v>
      </c>
      <c r="J39" s="194" t="e">
        <f>(0.0756*$F$4^(0.068232)*$F$5^(1.234733))*1.16</f>
        <v>#NUM!</v>
      </c>
      <c r="K39" s="140" t="s">
        <v>163</v>
      </c>
      <c r="L39" s="182"/>
      <c r="M39" s="182"/>
      <c r="N39" s="182"/>
      <c r="O39" s="182"/>
      <c r="P39" s="182"/>
      <c r="Q39" s="182"/>
      <c r="R39" s="182"/>
      <c r="S39" s="178"/>
      <c r="T39" s="173"/>
    </row>
    <row r="40" spans="1:20" ht="19.5" customHeight="1" thickBot="1">
      <c r="A40" s="166"/>
      <c r="B40" s="102" t="s">
        <v>152</v>
      </c>
      <c r="C40" s="103" t="s">
        <v>147</v>
      </c>
      <c r="D40" s="180"/>
      <c r="E40" s="141" t="s">
        <v>164</v>
      </c>
      <c r="F40" s="142" t="e">
        <f>F39*$F$4</f>
        <v>#DIV/0!</v>
      </c>
      <c r="G40" s="142" t="e">
        <f>G39*$F$4</f>
        <v>#NUM!</v>
      </c>
      <c r="H40" s="142" t="e">
        <f>H39*$F$4</f>
        <v>#NUM!</v>
      </c>
      <c r="I40" s="142" t="e">
        <f>I39*$F$4</f>
        <v>#NUM!</v>
      </c>
      <c r="J40" s="142" t="e">
        <f>J39*$F$4</f>
        <v>#NUM!</v>
      </c>
      <c r="K40" s="143" t="s">
        <v>101</v>
      </c>
      <c r="L40" s="183"/>
      <c r="M40" s="183"/>
      <c r="N40" s="183"/>
      <c r="O40" s="183"/>
      <c r="P40" s="183"/>
      <c r="Q40" s="183"/>
      <c r="R40" s="183"/>
      <c r="S40" s="178"/>
      <c r="T40" s="174"/>
    </row>
    <row r="41" spans="1:20" ht="19.5" customHeight="1">
      <c r="A41" s="113"/>
      <c r="B41" s="184"/>
      <c r="C41" s="119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9"/>
      <c r="S41" s="178"/>
      <c r="T41" s="171"/>
    </row>
    <row r="42" spans="4:5" ht="15">
      <c r="D42" s="81">
        <f>IF(F42&gt;0,#REF!+1,"")</f>
      </c>
      <c r="E42" s="81">
        <f>IF(F42&gt;0,-0.14232-0.24656*LOG10(LOG10((#REF!+1)/(#REF!-D42+1))),"")</f>
      </c>
    </row>
    <row r="43" spans="4:5" ht="15">
      <c r="D43" s="81">
        <f aca="true" t="shared" si="7" ref="D43:D76">IF(F43&gt;0,D42+1,"")</f>
      </c>
      <c r="E43" s="81">
        <f>IF(F43&gt;0,-0.14232-0.24656*LOG10(LOG10((#REF!+1)/(#REF!-D43+1))),"")</f>
      </c>
    </row>
    <row r="44" spans="4:5" ht="15">
      <c r="D44" s="81">
        <f t="shared" si="7"/>
      </c>
      <c r="E44" s="81">
        <f>IF(F44&gt;0,-0.14232-0.24656*LOG10(LOG10((#REF!+1)/(#REF!-D44+1))),"")</f>
      </c>
    </row>
    <row r="45" spans="4:5" ht="15">
      <c r="D45" s="81">
        <f t="shared" si="7"/>
      </c>
      <c r="E45" s="81">
        <f>IF(F45&gt;0,-0.14232-0.24656*LOG10(LOG10((#REF!+1)/(#REF!-D45+1))),"")</f>
      </c>
    </row>
    <row r="46" spans="4:5" ht="15">
      <c r="D46" s="81">
        <f t="shared" si="7"/>
      </c>
      <c r="E46" s="81">
        <f>IF(F46&gt;0,-0.14232-0.24656*LOG10(LOG10((#REF!+1)/(#REF!-D46+1))),"")</f>
      </c>
    </row>
    <row r="47" spans="4:5" ht="15">
      <c r="D47" s="81">
        <f t="shared" si="7"/>
      </c>
      <c r="E47" s="81">
        <f>IF(F47&gt;0,-0.14232-0.24656*LOG10(LOG10((#REF!+1)/(#REF!-D47+1))),"")</f>
      </c>
    </row>
    <row r="48" spans="4:5" ht="15">
      <c r="D48" s="81">
        <f t="shared" si="7"/>
      </c>
      <c r="E48" s="81">
        <f>IF(F48&gt;0,-0.14232-0.24656*LOG10(LOG10((#REF!+1)/(#REF!-D48+1))),"")</f>
      </c>
    </row>
    <row r="49" spans="4:5" ht="15">
      <c r="D49" s="81">
        <f t="shared" si="7"/>
      </c>
      <c r="E49" s="81">
        <f>IF(F49&gt;0,-0.14232-0.24656*LOG10(LOG10((#REF!+1)/(#REF!-D49+1))),"")</f>
      </c>
    </row>
    <row r="50" spans="4:5" ht="15">
      <c r="D50" s="81">
        <f t="shared" si="7"/>
      </c>
      <c r="E50" s="81">
        <f>IF(F50&gt;0,-0.14232-0.24656*LOG10(LOG10((#REF!+1)/(#REF!-D50+1))),"")</f>
      </c>
    </row>
    <row r="51" spans="4:5" ht="15">
      <c r="D51" s="81">
        <f t="shared" si="7"/>
      </c>
      <c r="E51" s="81">
        <f>IF(F51&gt;0,-0.14232-0.24656*LOG10(LOG10((#REF!+1)/(#REF!-D51+1))),"")</f>
      </c>
    </row>
    <row r="52" spans="4:5" ht="15">
      <c r="D52" s="81">
        <f t="shared" si="7"/>
      </c>
      <c r="E52" s="81">
        <f>IF(F52&gt;0,-0.14232-0.24656*LOG10(LOG10((#REF!+1)/(#REF!-D52+1))),"")</f>
      </c>
    </row>
    <row r="53" spans="4:5" ht="15">
      <c r="D53" s="81">
        <f t="shared" si="7"/>
      </c>
      <c r="E53" s="81">
        <f>IF(F53&gt;0,-0.14232-0.24656*LOG10(LOG10((#REF!+1)/(#REF!-D53+1))),"")</f>
      </c>
    </row>
    <row r="54" spans="4:5" ht="15">
      <c r="D54" s="81">
        <f t="shared" si="7"/>
      </c>
      <c r="E54" s="81">
        <f>IF(F54&gt;0,-0.14232-0.24656*LOG10(LOG10((#REF!+1)/(#REF!-D54+1))),"")</f>
      </c>
    </row>
    <row r="55" spans="4:5" ht="15">
      <c r="D55" s="81">
        <f t="shared" si="7"/>
      </c>
      <c r="E55" s="81">
        <f>IF(F55&gt;0,-0.14232-0.24656*LOG10(LOG10((#REF!+1)/(#REF!-D55+1))),"")</f>
      </c>
    </row>
    <row r="56" spans="4:5" ht="15">
      <c r="D56" s="81">
        <f t="shared" si="7"/>
      </c>
      <c r="E56" s="81">
        <f>IF(F56&gt;0,-0.14232-0.24656*LOG10(LOG10((#REF!+1)/(#REF!-D56+1))),"")</f>
      </c>
    </row>
    <row r="57" spans="4:5" ht="15">
      <c r="D57" s="81">
        <f t="shared" si="7"/>
      </c>
      <c r="E57" s="81">
        <f>IF(F57&gt;0,-0.14232-0.24656*LOG10(LOG10((#REF!+1)/(#REF!-D57+1))),"")</f>
      </c>
    </row>
    <row r="58" spans="4:5" ht="15">
      <c r="D58" s="81">
        <f t="shared" si="7"/>
      </c>
      <c r="E58" s="81">
        <f>IF(F58&gt;0,-0.14232-0.24656*LOG10(LOG10((#REF!+1)/(#REF!-D58+1))),"")</f>
      </c>
    </row>
    <row r="59" spans="4:5" ht="15">
      <c r="D59" s="81">
        <f t="shared" si="7"/>
      </c>
      <c r="E59" s="81">
        <f>IF(F59&gt;0,-0.14232-0.24656*LOG10(LOG10((#REF!+1)/(#REF!-D59+1))),"")</f>
      </c>
    </row>
    <row r="60" spans="4:5" ht="15">
      <c r="D60" s="81">
        <f t="shared" si="7"/>
      </c>
      <c r="E60" s="81">
        <f>IF(F60&gt;0,-0.14232-0.24656*LOG10(LOG10((#REF!+1)/(#REF!-D60+1))),"")</f>
      </c>
    </row>
    <row r="61" spans="4:5" ht="15">
      <c r="D61" s="81">
        <f t="shared" si="7"/>
      </c>
      <c r="E61" s="81">
        <f>IF(F61&gt;0,-0.14232-0.24656*LOG10(LOG10((#REF!+1)/(#REF!-D61+1))),"")</f>
      </c>
    </row>
    <row r="62" spans="4:5" ht="15">
      <c r="D62" s="81">
        <f t="shared" si="7"/>
      </c>
      <c r="E62" s="81">
        <f>IF(F62&gt;0,-0.14232-0.24656*LOG10(LOG10((#REF!+1)/(#REF!-D62+1))),"")</f>
      </c>
    </row>
    <row r="63" spans="4:5" ht="15">
      <c r="D63" s="81">
        <f t="shared" si="7"/>
      </c>
      <c r="E63" s="81">
        <f>IF(F63&gt;0,-0.14232-0.24656*LOG10(LOG10((#REF!+1)/(#REF!-D63+1))),"")</f>
      </c>
    </row>
    <row r="64" spans="4:5" ht="15">
      <c r="D64" s="81">
        <f t="shared" si="7"/>
      </c>
      <c r="E64" s="81">
        <f>IF(F64&gt;0,-0.14232-0.24656*LOG10(LOG10((#REF!+1)/(#REF!-D64+1))),"")</f>
      </c>
    </row>
    <row r="65" spans="4:5" ht="15">
      <c r="D65" s="81">
        <f t="shared" si="7"/>
      </c>
      <c r="E65" s="81">
        <f>IF(F65&gt;0,-0.14232-0.24656*LOG10(LOG10((#REF!+1)/(#REF!-D65+1))),"")</f>
      </c>
    </row>
    <row r="66" spans="4:5" ht="15">
      <c r="D66" s="81">
        <f t="shared" si="7"/>
      </c>
      <c r="E66" s="81">
        <f>IF(F66&gt;0,-0.14232-0.24656*LOG10(LOG10((#REF!+1)/(#REF!-D66+1))),"")</f>
      </c>
    </row>
    <row r="67" spans="4:5" ht="15">
      <c r="D67" s="81">
        <f t="shared" si="7"/>
      </c>
      <c r="E67" s="81">
        <f>IF(F67&gt;0,-0.14232-0.24656*LOG10(LOG10((#REF!+1)/(#REF!-D67+1))),"")</f>
      </c>
    </row>
    <row r="68" spans="4:5" ht="15">
      <c r="D68" s="81">
        <f t="shared" si="7"/>
      </c>
      <c r="E68" s="81">
        <f>IF(F68&gt;0,-0.14232-0.24656*LOG10(LOG10((#REF!+1)/(#REF!-D68+1))),"")</f>
      </c>
    </row>
    <row r="69" spans="4:5" ht="15">
      <c r="D69" s="81">
        <f t="shared" si="7"/>
      </c>
      <c r="E69" s="81">
        <f>IF(F69&gt;0,-0.14232-0.24656*LOG10(LOG10((#REF!+1)/(#REF!-D69+1))),"")</f>
      </c>
    </row>
    <row r="70" spans="4:5" ht="15">
      <c r="D70" s="81">
        <f t="shared" si="7"/>
      </c>
      <c r="E70" s="81">
        <f>IF(F70&gt;0,-0.14232-0.24656*LOG10(LOG10((#REF!+1)/(#REF!-D70+1))),"")</f>
      </c>
    </row>
    <row r="71" spans="4:5" ht="15">
      <c r="D71" s="81">
        <f t="shared" si="7"/>
      </c>
      <c r="E71" s="81">
        <f>IF(F71&gt;0,-0.14232-0.24656*LOG10(LOG10((#REF!+1)/(#REF!-D71+1))),"")</f>
      </c>
    </row>
    <row r="72" spans="4:5" ht="15">
      <c r="D72" s="81">
        <f t="shared" si="7"/>
      </c>
      <c r="E72" s="81">
        <f>IF(F72&gt;0,-0.14232-0.24656*LOG10(LOG10((#REF!+1)/(#REF!-D72+1))),"")</f>
      </c>
    </row>
    <row r="73" spans="4:5" ht="15">
      <c r="D73" s="81">
        <f t="shared" si="7"/>
      </c>
      <c r="E73" s="81">
        <f>IF(F73&gt;0,-0.14232-0.24656*LOG10(LOG10((#REF!+1)/(#REF!-D73+1))),"")</f>
      </c>
    </row>
    <row r="74" spans="4:5" ht="15">
      <c r="D74" s="81">
        <f t="shared" si="7"/>
      </c>
      <c r="E74" s="81">
        <f>IF(F74&gt;0,-0.14232-0.24656*LOG10(LOG10((#REF!+1)/(#REF!-D74+1))),"")</f>
      </c>
    </row>
    <row r="75" spans="4:5" ht="15">
      <c r="D75" s="81">
        <f t="shared" si="7"/>
      </c>
      <c r="E75" s="81">
        <f>IF(F75&gt;0,-0.14232-0.24656*LOG10(LOG10((#REF!+1)/(#REF!-D75+1))),"")</f>
      </c>
    </row>
    <row r="76" spans="4:5" ht="15">
      <c r="D76" s="81">
        <f t="shared" si="7"/>
      </c>
      <c r="E76" s="81">
        <f>IF(F76&gt;0,-0.14232-0.24656*LOG10(LOG10((#REF!+1)/(#REF!-D76+1))),"")</f>
      </c>
    </row>
    <row r="77" spans="4:5" ht="15">
      <c r="D77" s="81">
        <f aca="true" t="shared" si="8" ref="D77:D117">IF(F77&gt;0,D76+1,"")</f>
      </c>
      <c r="E77" s="81">
        <f>IF(F77&gt;0,-0.14232-0.24656*LOG10(LOG10((#REF!+1)/(#REF!-D77+1))),"")</f>
      </c>
    </row>
    <row r="78" spans="4:5" ht="15">
      <c r="D78" s="81">
        <f t="shared" si="8"/>
      </c>
      <c r="E78" s="81">
        <f>IF(F78&gt;0,-0.14232-0.24656*LOG10(LOG10((#REF!+1)/(#REF!-D78+1))),"")</f>
      </c>
    </row>
    <row r="79" spans="4:5" ht="15">
      <c r="D79" s="81">
        <f t="shared" si="8"/>
      </c>
      <c r="E79" s="81">
        <f>IF(F79&gt;0,-0.14232-0.24656*LOG10(LOG10((#REF!+1)/(#REF!-D79+1))),"")</f>
      </c>
    </row>
    <row r="80" spans="4:5" ht="15">
      <c r="D80" s="81">
        <f t="shared" si="8"/>
      </c>
      <c r="E80" s="81">
        <f>IF(F80&gt;0,-0.14232-0.24656*LOG10(LOG10((#REF!+1)/(#REF!-D80+1))),"")</f>
      </c>
    </row>
    <row r="81" spans="4:5" ht="15">
      <c r="D81" s="81">
        <f t="shared" si="8"/>
      </c>
      <c r="E81" s="81">
        <f>IF(F81&gt;0,-0.14232-0.24656*LOG10(LOG10((#REF!+1)/(#REF!-D81+1))),"")</f>
      </c>
    </row>
    <row r="82" spans="4:5" ht="15">
      <c r="D82" s="81">
        <f t="shared" si="8"/>
      </c>
      <c r="E82" s="81">
        <f>IF(F82&gt;0,-0.14232-0.24656*LOG10(LOG10((#REF!+1)/(#REF!-D82+1))),"")</f>
      </c>
    </row>
    <row r="83" spans="4:5" ht="15">
      <c r="D83" s="81">
        <f t="shared" si="8"/>
      </c>
      <c r="E83" s="81">
        <f>IF(F83&gt;0,-0.14232-0.24656*LOG10(LOG10((#REF!+1)/(#REF!-D83+1))),"")</f>
      </c>
    </row>
    <row r="84" spans="4:5" ht="15">
      <c r="D84" s="81">
        <f t="shared" si="8"/>
      </c>
      <c r="E84" s="81">
        <f>IF(F84&gt;0,-0.14232-0.24656*LOG10(LOG10((#REF!+1)/(#REF!-D84+1))),"")</f>
      </c>
    </row>
    <row r="85" spans="4:5" ht="15">
      <c r="D85" s="81">
        <f t="shared" si="8"/>
      </c>
      <c r="E85" s="81">
        <f>IF(F85&gt;0,-0.14232-0.24656*LOG10(LOG10((#REF!+1)/(#REF!-D85+1))),"")</f>
      </c>
    </row>
    <row r="86" spans="4:5" ht="15">
      <c r="D86" s="81">
        <f t="shared" si="8"/>
      </c>
      <c r="E86" s="81">
        <f>IF(F86&gt;0,-0.14232-0.24656*LOG10(LOG10((#REF!+1)/(#REF!-D86+1))),"")</f>
      </c>
    </row>
    <row r="87" spans="4:5" ht="15">
      <c r="D87" s="81">
        <f t="shared" si="8"/>
      </c>
      <c r="E87" s="81">
        <f>IF(F87&gt;0,-0.14232-0.24656*LOG10(LOG10((#REF!+1)/(#REF!-D87+1))),"")</f>
      </c>
    </row>
    <row r="88" spans="4:5" ht="15">
      <c r="D88" s="81">
        <f t="shared" si="8"/>
      </c>
      <c r="E88" s="81">
        <f>IF(F88&gt;0,-0.14232-0.24656*LOG10(LOG10((#REF!+1)/(#REF!-D88+1))),"")</f>
      </c>
    </row>
    <row r="89" spans="4:5" ht="15">
      <c r="D89" s="81">
        <f t="shared" si="8"/>
      </c>
      <c r="E89" s="81">
        <f>IF(F89&gt;0,-0.14232-0.24656*LOG10(LOG10((#REF!+1)/(#REF!-D89+1))),"")</f>
      </c>
    </row>
    <row r="90" spans="4:5" ht="15">
      <c r="D90" s="81">
        <f t="shared" si="8"/>
      </c>
      <c r="E90" s="81">
        <f>IF(F90&gt;0,-0.14232-0.24656*LOG10(LOG10((#REF!+1)/(#REF!-D90+1))),"")</f>
      </c>
    </row>
    <row r="91" spans="4:5" ht="15">
      <c r="D91" s="81">
        <f t="shared" si="8"/>
      </c>
      <c r="E91" s="81">
        <f>IF(F91&gt;0,-0.14232-0.24656*LOG10(LOG10((#REF!+1)/(#REF!-D91+1))),"")</f>
      </c>
    </row>
    <row r="92" spans="4:5" ht="15">
      <c r="D92" s="81">
        <f t="shared" si="8"/>
      </c>
      <c r="E92" s="81">
        <f>IF(F92&gt;0,-0.14232-0.24656*LOG10(LOG10((#REF!+1)/(#REF!-D92+1))),"")</f>
      </c>
    </row>
    <row r="93" spans="4:5" ht="15">
      <c r="D93" s="81">
        <f t="shared" si="8"/>
      </c>
      <c r="E93" s="81">
        <f>IF(F93&gt;0,-0.14232-0.24656*LOG10(LOG10((#REF!+1)/(#REF!-D93+1))),"")</f>
      </c>
    </row>
    <row r="94" spans="4:5" ht="15">
      <c r="D94" s="81">
        <f t="shared" si="8"/>
      </c>
      <c r="E94" s="81">
        <f>IF(F94&gt;0,-0.14232-0.24656*LOG10(LOG10((#REF!+1)/(#REF!-D94+1))),"")</f>
      </c>
    </row>
    <row r="95" spans="4:5" ht="15">
      <c r="D95" s="81">
        <f t="shared" si="8"/>
      </c>
      <c r="E95" s="81">
        <f>IF(F95&gt;0,-0.14232-0.24656*LOG10(LOG10((#REF!+1)/(#REF!-D95+1))),"")</f>
      </c>
    </row>
    <row r="96" spans="4:5" ht="15">
      <c r="D96" s="81">
        <f t="shared" si="8"/>
      </c>
      <c r="E96" s="81">
        <f>IF(F96&gt;0,-0.14232-0.24656*LOG10(LOG10((#REF!+1)/(#REF!-D96+1))),"")</f>
      </c>
    </row>
    <row r="97" spans="4:5" ht="15">
      <c r="D97" s="81">
        <f t="shared" si="8"/>
      </c>
      <c r="E97" s="81">
        <f>IF(F97&gt;0,-0.14232-0.24656*LOG10(LOG10((#REF!+1)/(#REF!-D97+1))),"")</f>
      </c>
    </row>
    <row r="98" spans="4:5" ht="15">
      <c r="D98" s="81">
        <f t="shared" si="8"/>
      </c>
      <c r="E98" s="81">
        <f>IF(F98&gt;0,-0.14232-0.24656*LOG10(LOG10((#REF!+1)/(#REF!-D98+1))),"")</f>
      </c>
    </row>
    <row r="99" spans="4:5" ht="15">
      <c r="D99" s="81">
        <f t="shared" si="8"/>
      </c>
      <c r="E99" s="81">
        <f>IF(F99&gt;0,-0.14232-0.24656*LOG10(LOG10((#REF!+1)/(#REF!-D99+1))),"")</f>
      </c>
    </row>
    <row r="100" spans="4:5" ht="15">
      <c r="D100" s="81">
        <f t="shared" si="8"/>
      </c>
      <c r="E100" s="81">
        <f>IF(F100&gt;0,-0.14232-0.24656*LOG10(LOG10((#REF!+1)/(#REF!-D100+1))),"")</f>
      </c>
    </row>
    <row r="101" spans="4:5" ht="15">
      <c r="D101" s="81">
        <f t="shared" si="8"/>
      </c>
      <c r="E101" s="81">
        <f>IF(F101&gt;0,-0.14232-0.24656*LOG10(LOG10((#REF!+1)/(#REF!-D101+1))),"")</f>
      </c>
    </row>
    <row r="102" spans="4:5" ht="15">
      <c r="D102" s="81">
        <f t="shared" si="8"/>
      </c>
      <c r="E102" s="81">
        <f>IF(F102&gt;0,-0.14232-0.24656*LOG10(LOG10((#REF!+1)/(#REF!-D102+1))),"")</f>
      </c>
    </row>
    <row r="103" spans="4:5" ht="15">
      <c r="D103" s="81">
        <f t="shared" si="8"/>
      </c>
      <c r="E103" s="81">
        <f>IF(F103&gt;0,-0.14232-0.24656*LOG10(LOG10((#REF!+1)/(#REF!-D103+1))),"")</f>
      </c>
    </row>
    <row r="104" spans="4:5" ht="15">
      <c r="D104" s="81">
        <f t="shared" si="8"/>
      </c>
      <c r="E104" s="81">
        <f>IF(F104&gt;0,-0.14232-0.24656*LOG10(LOG10((#REF!+1)/(#REF!-D104+1))),"")</f>
      </c>
    </row>
    <row r="105" spans="4:5" ht="15">
      <c r="D105" s="81">
        <f t="shared" si="8"/>
      </c>
      <c r="E105" s="81">
        <f>IF(F105&gt;0,-0.14232-0.24656*LOG10(LOG10((#REF!+1)/(#REF!-D105+1))),"")</f>
      </c>
    </row>
    <row r="106" spans="4:5" ht="15">
      <c r="D106" s="81">
        <f t="shared" si="8"/>
      </c>
      <c r="E106" s="81">
        <f>IF(F106&gt;0,-0.14232-0.24656*LOG10(LOG10((#REF!+1)/(#REF!-D106+1))),"")</f>
      </c>
    </row>
    <row r="107" spans="4:5" ht="15">
      <c r="D107" s="81">
        <f t="shared" si="8"/>
      </c>
      <c r="E107" s="81">
        <f>IF(F107&gt;0,-0.14232-0.24656*LOG10(LOG10((#REF!+1)/(#REF!-D107+1))),"")</f>
      </c>
    </row>
    <row r="108" spans="4:5" ht="15">
      <c r="D108" s="81">
        <f t="shared" si="8"/>
      </c>
      <c r="E108" s="81">
        <f>IF(F108&gt;0,-0.14232-0.24656*LOG10(LOG10((#REF!+1)/(#REF!-D108+1))),"")</f>
      </c>
    </row>
    <row r="109" spans="4:5" ht="15">
      <c r="D109" s="81">
        <f t="shared" si="8"/>
      </c>
      <c r="E109" s="81">
        <f>IF(F109&gt;0,-0.14232-0.24656*LOG10(LOG10((#REF!+1)/(#REF!-D109+1))),"")</f>
      </c>
    </row>
    <row r="110" spans="4:5" ht="15">
      <c r="D110" s="81">
        <f t="shared" si="8"/>
      </c>
      <c r="E110" s="81">
        <f>IF(F110&gt;0,-0.14232-0.24656*LOG10(LOG10((#REF!+1)/(#REF!-D110+1))),"")</f>
      </c>
    </row>
    <row r="111" spans="4:5" ht="15">
      <c r="D111" s="81">
        <f t="shared" si="8"/>
      </c>
      <c r="E111" s="81">
        <f>IF(F111&gt;0,-0.14232-0.24656*LOG10(LOG10((#REF!+1)/(#REF!-D111+1))),"")</f>
      </c>
    </row>
    <row r="112" spans="4:5" ht="15">
      <c r="D112" s="81">
        <f t="shared" si="8"/>
      </c>
      <c r="E112" s="81">
        <f>IF(F112&gt;0,-0.14232-0.24656*LOG10(LOG10((#REF!+1)/(#REF!-D112+1))),"")</f>
      </c>
    </row>
    <row r="113" spans="4:5" ht="15">
      <c r="D113" s="81">
        <f t="shared" si="8"/>
      </c>
      <c r="E113" s="81">
        <f>IF(F113&gt;0,-0.14232-0.24656*LOG10(LOG10((#REF!+1)/(#REF!-D113+1))),"")</f>
      </c>
    </row>
    <row r="114" spans="4:5" ht="15">
      <c r="D114" s="81">
        <f t="shared" si="8"/>
      </c>
      <c r="E114" s="81">
        <f>IF(F114&gt;0,-0.14232-0.24656*LOG10(LOG10((#REF!+1)/(#REF!-D114+1))),"")</f>
      </c>
    </row>
    <row r="115" spans="4:5" ht="15">
      <c r="D115" s="81">
        <f t="shared" si="8"/>
      </c>
      <c r="E115" s="81">
        <f>IF(F115&gt;0,-0.14232-0.24656*LOG10(LOG10((#REF!+1)/(#REF!-D115+1))),"")</f>
      </c>
    </row>
    <row r="116" spans="4:5" ht="15">
      <c r="D116" s="81">
        <f t="shared" si="8"/>
      </c>
      <c r="E116" s="81">
        <f>IF(F116&gt;0,-0.14232-0.24656*LOG10(LOG10((#REF!+1)/(#REF!-D116+1))),"")</f>
      </c>
    </row>
    <row r="117" spans="4:5" ht="15">
      <c r="D117" s="81">
        <f t="shared" si="8"/>
      </c>
      <c r="E117" s="81">
        <f>IF(F117&gt;0,-0.14232-0.24656*LOG10(LOG10((#REF!+1)/(#REF!-D117+1))),"")</f>
      </c>
    </row>
  </sheetData>
  <sheetProtection password="DD77" sheet="1" objects="1" scenarios="1"/>
  <mergeCells count="1">
    <mergeCell ref="H5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5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42.8515625" style="0" customWidth="1"/>
    <col min="3" max="3" width="16.28125" style="0" customWidth="1"/>
  </cols>
  <sheetData>
    <row r="1" spans="2:3" ht="14.25">
      <c r="B1" s="19" t="s">
        <v>23</v>
      </c>
      <c r="C1" s="20" t="s">
        <v>18</v>
      </c>
    </row>
    <row r="2" spans="2:3" ht="14.25">
      <c r="B2" s="21" t="s">
        <v>24</v>
      </c>
      <c r="C2" s="22" t="s">
        <v>19</v>
      </c>
    </row>
    <row r="3" spans="2:3" ht="15" thickBot="1">
      <c r="B3" s="23" t="s">
        <v>25</v>
      </c>
      <c r="C3" s="24" t="s">
        <v>20</v>
      </c>
    </row>
    <row r="4" spans="2:3" ht="15" thickBot="1">
      <c r="B4" s="1"/>
      <c r="C4" s="3"/>
    </row>
    <row r="5" spans="2:6" ht="15">
      <c r="B5" s="4" t="s">
        <v>26</v>
      </c>
      <c r="C5" s="5" t="s">
        <v>21</v>
      </c>
      <c r="E5" s="25" t="s">
        <v>38</v>
      </c>
      <c r="F5" s="48">
        <v>1150</v>
      </c>
    </row>
    <row r="6" spans="2:6" ht="15">
      <c r="B6" s="6" t="s">
        <v>27</v>
      </c>
      <c r="C6" s="7" t="s">
        <v>22</v>
      </c>
      <c r="E6" s="26" t="s">
        <v>39</v>
      </c>
      <c r="F6" s="50">
        <v>1200</v>
      </c>
    </row>
    <row r="7" spans="2:6" ht="15">
      <c r="B7" s="8" t="s">
        <v>28</v>
      </c>
      <c r="C7" s="9" t="s">
        <v>21</v>
      </c>
      <c r="E7" s="26" t="s">
        <v>40</v>
      </c>
      <c r="F7" s="49">
        <v>2.3</v>
      </c>
    </row>
    <row r="8" spans="2:6" ht="15">
      <c r="B8" s="6" t="s">
        <v>29</v>
      </c>
      <c r="C8" s="7" t="s">
        <v>22</v>
      </c>
      <c r="E8" s="8" t="s">
        <v>41</v>
      </c>
      <c r="F8" s="27">
        <f>-24.5694+0.0086*F5+0.03416*F6</f>
        <v>26.312600000000003</v>
      </c>
    </row>
    <row r="9" spans="2:6" ht="15.75" thickBot="1">
      <c r="B9" s="8" t="s">
        <v>30</v>
      </c>
      <c r="C9" s="9" t="s">
        <v>21</v>
      </c>
      <c r="E9" s="10" t="s">
        <v>42</v>
      </c>
      <c r="F9" s="18">
        <f>F8*F7</f>
        <v>60.518980000000006</v>
      </c>
    </row>
    <row r="10" spans="2:3" ht="15">
      <c r="B10" s="6" t="s">
        <v>31</v>
      </c>
      <c r="C10" s="7" t="s">
        <v>22</v>
      </c>
    </row>
    <row r="11" spans="2:3" ht="15.75" thickBot="1">
      <c r="B11" s="8" t="s">
        <v>32</v>
      </c>
      <c r="C11" s="9" t="s">
        <v>21</v>
      </c>
    </row>
    <row r="12" spans="2:17" ht="15.75" thickBot="1">
      <c r="B12" s="6" t="s">
        <v>33</v>
      </c>
      <c r="C12" s="7" t="s">
        <v>22</v>
      </c>
      <c r="E12" s="28"/>
      <c r="F12" s="29" t="s">
        <v>45</v>
      </c>
      <c r="G12" s="30" t="s">
        <v>46</v>
      </c>
      <c r="H12" s="30" t="s">
        <v>47</v>
      </c>
      <c r="I12" s="30" t="s">
        <v>48</v>
      </c>
      <c r="J12" s="30" t="s">
        <v>49</v>
      </c>
      <c r="K12" s="30" t="s">
        <v>50</v>
      </c>
      <c r="L12" s="30" t="s">
        <v>51</v>
      </c>
      <c r="M12" s="30" t="s">
        <v>52</v>
      </c>
      <c r="N12" s="30" t="s">
        <v>53</v>
      </c>
      <c r="O12" s="30" t="s">
        <v>54</v>
      </c>
      <c r="P12" s="30" t="s">
        <v>55</v>
      </c>
      <c r="Q12" s="31" t="s">
        <v>56</v>
      </c>
    </row>
    <row r="13" spans="2:17" ht="15">
      <c r="B13" s="8" t="s">
        <v>34</v>
      </c>
      <c r="C13" s="9" t="s">
        <v>21</v>
      </c>
      <c r="E13" s="32" t="s">
        <v>38</v>
      </c>
      <c r="F13" s="36">
        <f>$F$5</f>
        <v>1150</v>
      </c>
      <c r="G13" s="37">
        <f aca="true" t="shared" si="0" ref="G13:Q13">$F$5</f>
        <v>1150</v>
      </c>
      <c r="H13" s="37">
        <f t="shared" si="0"/>
        <v>1150</v>
      </c>
      <c r="I13" s="37">
        <f t="shared" si="0"/>
        <v>1150</v>
      </c>
      <c r="J13" s="37">
        <f t="shared" si="0"/>
        <v>1150</v>
      </c>
      <c r="K13" s="37">
        <f t="shared" si="0"/>
        <v>1150</v>
      </c>
      <c r="L13" s="37">
        <f t="shared" si="0"/>
        <v>1150</v>
      </c>
      <c r="M13" s="37">
        <f t="shared" si="0"/>
        <v>1150</v>
      </c>
      <c r="N13" s="37">
        <f t="shared" si="0"/>
        <v>1150</v>
      </c>
      <c r="O13" s="37">
        <f t="shared" si="0"/>
        <v>1150</v>
      </c>
      <c r="P13" s="37">
        <f t="shared" si="0"/>
        <v>1150</v>
      </c>
      <c r="Q13" s="38">
        <f t="shared" si="0"/>
        <v>1150</v>
      </c>
    </row>
    <row r="14" spans="2:17" ht="15">
      <c r="B14" s="6" t="s">
        <v>35</v>
      </c>
      <c r="C14" s="7" t="s">
        <v>22</v>
      </c>
      <c r="E14" s="33" t="s">
        <v>41</v>
      </c>
      <c r="F14" s="39">
        <f>$F$8</f>
        <v>26.312600000000003</v>
      </c>
      <c r="G14" s="40">
        <f aca="true" t="shared" si="1" ref="G14:Q14">$F$8</f>
        <v>26.312600000000003</v>
      </c>
      <c r="H14" s="40">
        <f t="shared" si="1"/>
        <v>26.312600000000003</v>
      </c>
      <c r="I14" s="40">
        <f t="shared" si="1"/>
        <v>26.312600000000003</v>
      </c>
      <c r="J14" s="40">
        <f t="shared" si="1"/>
        <v>26.312600000000003</v>
      </c>
      <c r="K14" s="40">
        <f t="shared" si="1"/>
        <v>26.312600000000003</v>
      </c>
      <c r="L14" s="40">
        <f t="shared" si="1"/>
        <v>26.312600000000003</v>
      </c>
      <c r="M14" s="40">
        <f t="shared" si="1"/>
        <v>26.312600000000003</v>
      </c>
      <c r="N14" s="40">
        <f t="shared" si="1"/>
        <v>26.312600000000003</v>
      </c>
      <c r="O14" s="40">
        <f t="shared" si="1"/>
        <v>26.312600000000003</v>
      </c>
      <c r="P14" s="40">
        <f t="shared" si="1"/>
        <v>26.312600000000003</v>
      </c>
      <c r="Q14" s="41">
        <f t="shared" si="1"/>
        <v>26.312600000000003</v>
      </c>
    </row>
    <row r="15" spans="2:17" ht="15">
      <c r="B15" s="8" t="s">
        <v>59</v>
      </c>
      <c r="C15" s="9" t="s">
        <v>21</v>
      </c>
      <c r="E15" s="34" t="s">
        <v>40</v>
      </c>
      <c r="F15" s="42">
        <f>$F$7</f>
        <v>2.3</v>
      </c>
      <c r="G15" s="43">
        <f aca="true" t="shared" si="2" ref="G15:Q15">$F$7</f>
        <v>2.3</v>
      </c>
      <c r="H15" s="43">
        <f t="shared" si="2"/>
        <v>2.3</v>
      </c>
      <c r="I15" s="43">
        <f t="shared" si="2"/>
        <v>2.3</v>
      </c>
      <c r="J15" s="43">
        <f t="shared" si="2"/>
        <v>2.3</v>
      </c>
      <c r="K15" s="43">
        <f t="shared" si="2"/>
        <v>2.3</v>
      </c>
      <c r="L15" s="43">
        <f t="shared" si="2"/>
        <v>2.3</v>
      </c>
      <c r="M15" s="43">
        <f t="shared" si="2"/>
        <v>2.3</v>
      </c>
      <c r="N15" s="43">
        <f t="shared" si="2"/>
        <v>2.3</v>
      </c>
      <c r="O15" s="43">
        <f t="shared" si="2"/>
        <v>2.3</v>
      </c>
      <c r="P15" s="43">
        <f t="shared" si="2"/>
        <v>2.3</v>
      </c>
      <c r="Q15" s="44">
        <f t="shared" si="2"/>
        <v>2.3</v>
      </c>
    </row>
    <row r="16" spans="2:17" ht="15">
      <c r="B16" s="6" t="s">
        <v>60</v>
      </c>
      <c r="C16" s="7" t="s">
        <v>22</v>
      </c>
      <c r="E16" s="33" t="s">
        <v>43</v>
      </c>
      <c r="F16" s="39">
        <f>-9.22903+0.01393*F13+1.07292*F14</f>
        <v>35.021784792000005</v>
      </c>
      <c r="G16" s="40">
        <f>1.31092-0.01554*G13+1.61386*G14</f>
        <v>25.90477263600001</v>
      </c>
      <c r="H16" s="40">
        <f>25.89552-0.01898*H13+1.20959*H14</f>
        <v>35.89597783400001</v>
      </c>
      <c r="I16" s="40">
        <f>4.76336-0.0086*I13+1.32368*I14</f>
        <v>29.702822368</v>
      </c>
      <c r="J16" s="40">
        <f>-0.27352+0.03265*J13+0.33043*J14</f>
        <v>45.968452418000005</v>
      </c>
      <c r="K16" s="40">
        <f>-11.5468+0.02965*K13+0.21325*K14</f>
        <v>28.16186195</v>
      </c>
      <c r="L16" s="40">
        <f>-4.60293+0.00332*L13+0.30438*L14</f>
        <v>7.224099188000002</v>
      </c>
      <c r="M16" s="40">
        <f>-5.7195+0.00479*M13+0.26477*M14</f>
        <v>6.755787102000001</v>
      </c>
      <c r="N16" s="40">
        <f>-9.25502+0.01354*N13+0.417*N14</f>
        <v>17.2883342</v>
      </c>
      <c r="O16" s="40">
        <f>-9.07111+0.01729*O13+0.7893*O14</f>
        <v>31.58092518000001</v>
      </c>
      <c r="P16" s="40">
        <f>17.99109-0.02025*P13+1.74324*P14</f>
        <v>40.572766824</v>
      </c>
      <c r="Q16" s="41">
        <f>0.52727-0.05347*Q13+2.75737*Q14</f>
        <v>11.590343862000012</v>
      </c>
    </row>
    <row r="17" spans="2:17" ht="15.75" thickBot="1">
      <c r="B17" s="8" t="s">
        <v>36</v>
      </c>
      <c r="C17" s="9" t="s">
        <v>21</v>
      </c>
      <c r="E17" s="35" t="s">
        <v>44</v>
      </c>
      <c r="F17" s="45">
        <f>F16*F15</f>
        <v>80.5501050216</v>
      </c>
      <c r="G17" s="46">
        <f aca="true" t="shared" si="3" ref="G17:Q17">G16*G15</f>
        <v>59.580977062800024</v>
      </c>
      <c r="H17" s="46">
        <f t="shared" si="3"/>
        <v>82.56074901820001</v>
      </c>
      <c r="I17" s="46">
        <f t="shared" si="3"/>
        <v>68.3164914464</v>
      </c>
      <c r="J17" s="46">
        <f t="shared" si="3"/>
        <v>105.7274405614</v>
      </c>
      <c r="K17" s="46">
        <f t="shared" si="3"/>
        <v>64.77228248499999</v>
      </c>
      <c r="L17" s="46">
        <f t="shared" si="3"/>
        <v>16.6154281324</v>
      </c>
      <c r="M17" s="46">
        <f t="shared" si="3"/>
        <v>15.538310334600002</v>
      </c>
      <c r="N17" s="46">
        <f t="shared" si="3"/>
        <v>39.76316866</v>
      </c>
      <c r="O17" s="46">
        <f t="shared" si="3"/>
        <v>72.63612791400001</v>
      </c>
      <c r="P17" s="46">
        <f t="shared" si="3"/>
        <v>93.31736369519999</v>
      </c>
      <c r="Q17" s="47">
        <f t="shared" si="3"/>
        <v>26.657790882600025</v>
      </c>
    </row>
    <row r="18" spans="2:3" ht="15.75" thickBot="1">
      <c r="B18" s="10" t="s">
        <v>37</v>
      </c>
      <c r="C18" s="11" t="s">
        <v>22</v>
      </c>
    </row>
    <row r="19" spans="2:17" ht="15.75" thickBot="1">
      <c r="B19" s="2"/>
      <c r="C19" s="2"/>
      <c r="E19" s="76">
        <v>30</v>
      </c>
      <c r="F19" s="29" t="s">
        <v>45</v>
      </c>
      <c r="G19" s="30" t="s">
        <v>46</v>
      </c>
      <c r="H19" s="30" t="s">
        <v>47</v>
      </c>
      <c r="I19" s="30" t="s">
        <v>48</v>
      </c>
      <c r="J19" s="30" t="s">
        <v>49</v>
      </c>
      <c r="K19" s="30" t="s">
        <v>50</v>
      </c>
      <c r="L19" s="30" t="s">
        <v>51</v>
      </c>
      <c r="M19" s="30" t="s">
        <v>52</v>
      </c>
      <c r="N19" s="30" t="s">
        <v>53</v>
      </c>
      <c r="O19" s="30" t="s">
        <v>54</v>
      </c>
      <c r="P19" s="30" t="s">
        <v>55</v>
      </c>
      <c r="Q19" s="31" t="s">
        <v>56</v>
      </c>
    </row>
    <row r="20" spans="2:17" ht="15.75" thickBot="1">
      <c r="B20" s="12" t="s">
        <v>82</v>
      </c>
      <c r="C20" s="13" t="s">
        <v>0</v>
      </c>
      <c r="E20" s="32" t="s">
        <v>38</v>
      </c>
      <c r="F20" s="36">
        <f aca="true" t="shared" si="4" ref="F20:Q20">$F$5</f>
        <v>1150</v>
      </c>
      <c r="G20" s="37">
        <f t="shared" si="4"/>
        <v>1150</v>
      </c>
      <c r="H20" s="37">
        <f t="shared" si="4"/>
        <v>1150</v>
      </c>
      <c r="I20" s="37">
        <f t="shared" si="4"/>
        <v>1150</v>
      </c>
      <c r="J20" s="37">
        <f t="shared" si="4"/>
        <v>1150</v>
      </c>
      <c r="K20" s="37">
        <f t="shared" si="4"/>
        <v>1150</v>
      </c>
      <c r="L20" s="37">
        <f t="shared" si="4"/>
        <v>1150</v>
      </c>
      <c r="M20" s="37">
        <f t="shared" si="4"/>
        <v>1150</v>
      </c>
      <c r="N20" s="37">
        <f t="shared" si="4"/>
        <v>1150</v>
      </c>
      <c r="O20" s="37">
        <f t="shared" si="4"/>
        <v>1150</v>
      </c>
      <c r="P20" s="37">
        <f t="shared" si="4"/>
        <v>1150</v>
      </c>
      <c r="Q20" s="38">
        <f t="shared" si="4"/>
        <v>1150</v>
      </c>
    </row>
    <row r="21" spans="2:17" ht="15.75" thickBot="1">
      <c r="B21" s="2"/>
      <c r="C21" s="2"/>
      <c r="E21" s="33" t="s">
        <v>41</v>
      </c>
      <c r="F21" s="39">
        <f>$E$19</f>
        <v>30</v>
      </c>
      <c r="G21" s="40">
        <f aca="true" t="shared" si="5" ref="G21:Q21">$E$19</f>
        <v>30</v>
      </c>
      <c r="H21" s="40">
        <f t="shared" si="5"/>
        <v>30</v>
      </c>
      <c r="I21" s="40">
        <f t="shared" si="5"/>
        <v>30</v>
      </c>
      <c r="J21" s="40">
        <f t="shared" si="5"/>
        <v>30</v>
      </c>
      <c r="K21" s="40">
        <f t="shared" si="5"/>
        <v>30</v>
      </c>
      <c r="L21" s="40">
        <f t="shared" si="5"/>
        <v>30</v>
      </c>
      <c r="M21" s="40">
        <f t="shared" si="5"/>
        <v>30</v>
      </c>
      <c r="N21" s="40">
        <f t="shared" si="5"/>
        <v>30</v>
      </c>
      <c r="O21" s="40">
        <f t="shared" si="5"/>
        <v>30</v>
      </c>
      <c r="P21" s="40">
        <f t="shared" si="5"/>
        <v>30</v>
      </c>
      <c r="Q21" s="41">
        <f t="shared" si="5"/>
        <v>30</v>
      </c>
    </row>
    <row r="22" spans="2:17" ht="15">
      <c r="B22" s="14" t="s">
        <v>65</v>
      </c>
      <c r="C22" s="15" t="s">
        <v>1</v>
      </c>
      <c r="E22" s="34" t="s">
        <v>40</v>
      </c>
      <c r="F22" s="42">
        <f aca="true" t="shared" si="6" ref="F22:Q22">$F$7</f>
        <v>2.3</v>
      </c>
      <c r="G22" s="43">
        <f t="shared" si="6"/>
        <v>2.3</v>
      </c>
      <c r="H22" s="43">
        <f t="shared" si="6"/>
        <v>2.3</v>
      </c>
      <c r="I22" s="43">
        <f t="shared" si="6"/>
        <v>2.3</v>
      </c>
      <c r="J22" s="43">
        <f t="shared" si="6"/>
        <v>2.3</v>
      </c>
      <c r="K22" s="43">
        <f t="shared" si="6"/>
        <v>2.3</v>
      </c>
      <c r="L22" s="43">
        <f t="shared" si="6"/>
        <v>2.3</v>
      </c>
      <c r="M22" s="43">
        <f t="shared" si="6"/>
        <v>2.3</v>
      </c>
      <c r="N22" s="43">
        <f t="shared" si="6"/>
        <v>2.3</v>
      </c>
      <c r="O22" s="43">
        <f t="shared" si="6"/>
        <v>2.3</v>
      </c>
      <c r="P22" s="43">
        <f t="shared" si="6"/>
        <v>2.3</v>
      </c>
      <c r="Q22" s="44">
        <f t="shared" si="6"/>
        <v>2.3</v>
      </c>
    </row>
    <row r="23" spans="2:17" ht="15">
      <c r="B23" s="8" t="s">
        <v>66</v>
      </c>
      <c r="C23" s="16" t="s">
        <v>2</v>
      </c>
      <c r="E23" s="33" t="s">
        <v>43</v>
      </c>
      <c r="F23" s="39">
        <f>-9.22903+0.01393*F20+1.07292*F21</f>
        <v>38.97807</v>
      </c>
      <c r="G23" s="40">
        <f>1.31092-0.01554*G20+1.61386*G21</f>
        <v>31.855720000000005</v>
      </c>
      <c r="H23" s="40">
        <f>25.89552-0.01898*H20+1.20959*H21</f>
        <v>40.35622</v>
      </c>
      <c r="I23" s="40">
        <f>4.76336-0.0086*I20+1.32368*I21</f>
        <v>34.58376</v>
      </c>
      <c r="J23" s="40">
        <f>-0.27352+0.03265*J20+0.33043*J21</f>
        <v>47.18688</v>
      </c>
      <c r="K23" s="40">
        <f>-11.5468+0.02965*K20+0.21325*K21</f>
        <v>28.9482</v>
      </c>
      <c r="L23" s="40">
        <f>-4.60293+0.00332*L20+0.30438*L21</f>
        <v>8.34647</v>
      </c>
      <c r="M23" s="40">
        <f>-5.7195+0.00479*M20+0.26477*M21</f>
        <v>7.7321</v>
      </c>
      <c r="N23" s="40">
        <f>-9.25502+0.01354*N20+0.417*N21</f>
        <v>18.82598</v>
      </c>
      <c r="O23" s="40">
        <f>-9.07111+0.01729*O20+0.7893*O21</f>
        <v>34.49139</v>
      </c>
      <c r="P23" s="40">
        <f>17.99109-0.02025*P20+1.74324*P21</f>
        <v>47.000789999999995</v>
      </c>
      <c r="Q23" s="41">
        <f>0.52727-0.05347*Q20+2.75737*Q21</f>
        <v>21.757869999999997</v>
      </c>
    </row>
    <row r="24" spans="2:17" ht="15.75" thickBot="1">
      <c r="B24" s="8" t="s">
        <v>67</v>
      </c>
      <c r="C24" s="16" t="s">
        <v>3</v>
      </c>
      <c r="E24" s="35" t="s">
        <v>44</v>
      </c>
      <c r="F24" s="45">
        <f>F23*F22</f>
        <v>89.649561</v>
      </c>
      <c r="G24" s="46">
        <f aca="true" t="shared" si="7" ref="G24:Q24">G23*G22</f>
        <v>73.268156</v>
      </c>
      <c r="H24" s="46">
        <f t="shared" si="7"/>
        <v>92.819306</v>
      </c>
      <c r="I24" s="46">
        <f t="shared" si="7"/>
        <v>79.54264799999999</v>
      </c>
      <c r="J24" s="46">
        <f t="shared" si="7"/>
        <v>108.52982399999999</v>
      </c>
      <c r="K24" s="46">
        <f t="shared" si="7"/>
        <v>66.58086</v>
      </c>
      <c r="L24" s="46">
        <f t="shared" si="7"/>
        <v>19.196880999999998</v>
      </c>
      <c r="M24" s="46">
        <f t="shared" si="7"/>
        <v>17.78383</v>
      </c>
      <c r="N24" s="46">
        <f t="shared" si="7"/>
        <v>43.299754</v>
      </c>
      <c r="O24" s="46">
        <f t="shared" si="7"/>
        <v>79.330197</v>
      </c>
      <c r="P24" s="46">
        <f t="shared" si="7"/>
        <v>108.10181699999998</v>
      </c>
      <c r="Q24" s="47">
        <f t="shared" si="7"/>
        <v>50.043100999999986</v>
      </c>
    </row>
    <row r="25" spans="2:3" ht="15">
      <c r="B25" s="8" t="s">
        <v>68</v>
      </c>
      <c r="C25" s="16" t="s">
        <v>4</v>
      </c>
    </row>
    <row r="26" spans="2:3" ht="15">
      <c r="B26" s="8" t="s">
        <v>69</v>
      </c>
      <c r="C26" s="16" t="s">
        <v>5</v>
      </c>
    </row>
    <row r="27" spans="2:3" ht="15.75" thickBot="1">
      <c r="B27" s="8" t="s">
        <v>70</v>
      </c>
      <c r="C27" s="16" t="s">
        <v>6</v>
      </c>
    </row>
    <row r="28" spans="2:17" ht="15.75" thickBot="1">
      <c r="B28" s="8" t="s">
        <v>71</v>
      </c>
      <c r="C28" s="16" t="s">
        <v>7</v>
      </c>
      <c r="E28" s="75">
        <f>$F$8</f>
        <v>26.312600000000003</v>
      </c>
      <c r="F28" s="29">
        <v>10</v>
      </c>
      <c r="G28" s="30">
        <v>91</v>
      </c>
      <c r="H28" s="30">
        <v>182</v>
      </c>
      <c r="I28" s="30">
        <v>274</v>
      </c>
      <c r="J28" s="31">
        <v>355</v>
      </c>
      <c r="L28" s="76">
        <v>30</v>
      </c>
      <c r="M28" s="29">
        <v>10</v>
      </c>
      <c r="N28" s="30">
        <v>91</v>
      </c>
      <c r="O28" s="30">
        <v>182</v>
      </c>
      <c r="P28" s="30">
        <v>274</v>
      </c>
      <c r="Q28" s="31">
        <v>355</v>
      </c>
    </row>
    <row r="29" spans="2:17" ht="15">
      <c r="B29" s="8" t="s">
        <v>72</v>
      </c>
      <c r="C29" s="16" t="s">
        <v>8</v>
      </c>
      <c r="E29" s="32" t="s">
        <v>40</v>
      </c>
      <c r="F29" s="36">
        <f>$F$7</f>
        <v>2.3</v>
      </c>
      <c r="G29" s="37">
        <f>$F$7</f>
        <v>2.3</v>
      </c>
      <c r="H29" s="37">
        <f>$F$7</f>
        <v>2.3</v>
      </c>
      <c r="I29" s="37">
        <f>$F$7</f>
        <v>2.3</v>
      </c>
      <c r="J29" s="38">
        <f>$F$7</f>
        <v>2.3</v>
      </c>
      <c r="L29" s="32" t="s">
        <v>40</v>
      </c>
      <c r="M29" s="36">
        <f>$F$7</f>
        <v>2.3</v>
      </c>
      <c r="N29" s="37">
        <f>$F$7</f>
        <v>2.3</v>
      </c>
      <c r="O29" s="37">
        <f>$F$7</f>
        <v>2.3</v>
      </c>
      <c r="P29" s="37">
        <f>$F$7</f>
        <v>2.3</v>
      </c>
      <c r="Q29" s="38">
        <f>$F$7</f>
        <v>2.3</v>
      </c>
    </row>
    <row r="30" spans="2:17" ht="15">
      <c r="B30" s="8" t="s">
        <v>73</v>
      </c>
      <c r="C30" s="16" t="s">
        <v>9</v>
      </c>
      <c r="E30" s="33" t="s">
        <v>41</v>
      </c>
      <c r="F30" s="39">
        <f>$E$28</f>
        <v>26.312600000000003</v>
      </c>
      <c r="G30" s="40">
        <f>$E$28</f>
        <v>26.312600000000003</v>
      </c>
      <c r="H30" s="40">
        <f>$E$28</f>
        <v>26.312600000000003</v>
      </c>
      <c r="I30" s="40">
        <f>$E$28</f>
        <v>26.312600000000003</v>
      </c>
      <c r="J30" s="41">
        <f>$E$28</f>
        <v>26.312600000000003</v>
      </c>
      <c r="L30" s="33" t="s">
        <v>41</v>
      </c>
      <c r="M30" s="39">
        <f>$L$28</f>
        <v>30</v>
      </c>
      <c r="N30" s="40">
        <f>$L$28</f>
        <v>30</v>
      </c>
      <c r="O30" s="40">
        <f>$L$28</f>
        <v>30</v>
      </c>
      <c r="P30" s="40">
        <f>$L$28</f>
        <v>30</v>
      </c>
      <c r="Q30" s="41">
        <f>$L$28</f>
        <v>30</v>
      </c>
    </row>
    <row r="31" spans="2:17" ht="15">
      <c r="B31" s="8" t="s">
        <v>74</v>
      </c>
      <c r="C31" s="16" t="s">
        <v>10</v>
      </c>
      <c r="E31" s="33" t="s">
        <v>58</v>
      </c>
      <c r="F31" s="39">
        <f>6.59722*F29^0.010771*F30^0.912801</f>
        <v>131.69947420593135</v>
      </c>
      <c r="G31" s="40">
        <f>1.11364*G29^0.012334*G30^0.971628</f>
        <v>26.982193357820314</v>
      </c>
      <c r="H31" s="40">
        <f>0.20538*H29^0.04673*H30^1.191391</f>
        <v>10.50586988809186</v>
      </c>
      <c r="I31" s="40">
        <f>0.0197*I29^0.077859*I30^1.570269</f>
        <v>3.5700074861570243</v>
      </c>
      <c r="J31" s="41">
        <f>0.00024*J29^0.116629*J30^2.455435</f>
        <v>0.8119307855356407</v>
      </c>
      <c r="L31" s="33" t="s">
        <v>58</v>
      </c>
      <c r="M31" s="39">
        <f>6.59722*M29^0.010771*M30^0.912801</f>
        <v>148.4481862947596</v>
      </c>
      <c r="N31" s="40">
        <f>1.11364*N29^0.012334*N30^0.971628</f>
        <v>30.64917178023472</v>
      </c>
      <c r="O31" s="40">
        <f>0.20538*O29^0.04673*O30^1.191391</f>
        <v>12.282609938422311</v>
      </c>
      <c r="P31" s="40">
        <f>0.0197*P29^0.077859*P30^1.570269</f>
        <v>4.386394711592487</v>
      </c>
      <c r="Q31" s="41">
        <f>0.00024*Q29^0.116629*Q30^2.455435</f>
        <v>1.1204034193700154</v>
      </c>
    </row>
    <row r="32" spans="2:17" ht="15.75" thickBot="1">
      <c r="B32" s="8" t="s">
        <v>75</v>
      </c>
      <c r="C32" s="16" t="s">
        <v>11</v>
      </c>
      <c r="E32" s="35" t="s">
        <v>57</v>
      </c>
      <c r="F32" s="45">
        <f>F31*F29</f>
        <v>302.9087906736421</v>
      </c>
      <c r="G32" s="46">
        <f>G31*G29</f>
        <v>62.05904472298672</v>
      </c>
      <c r="H32" s="46">
        <f>H31*H29</f>
        <v>24.163500742611276</v>
      </c>
      <c r="I32" s="46">
        <f>I31*I29</f>
        <v>8.211017218161155</v>
      </c>
      <c r="J32" s="47">
        <f>J31*J29</f>
        <v>1.8674408067319734</v>
      </c>
      <c r="L32" s="35" t="s">
        <v>57</v>
      </c>
      <c r="M32" s="45">
        <f>M31*M29</f>
        <v>341.43082847794705</v>
      </c>
      <c r="N32" s="46">
        <f>N31*N29</f>
        <v>70.49309509453985</v>
      </c>
      <c r="O32" s="46">
        <f>O31*O29</f>
        <v>28.250002858371314</v>
      </c>
      <c r="P32" s="46">
        <f>P31*P29</f>
        <v>10.08870783666272</v>
      </c>
      <c r="Q32" s="47">
        <f>Q31*Q29</f>
        <v>2.576927864551035</v>
      </c>
    </row>
    <row r="33" spans="2:3" ht="15.75" thickBot="1">
      <c r="B33" s="17" t="s">
        <v>76</v>
      </c>
      <c r="C33" s="18" t="s">
        <v>12</v>
      </c>
    </row>
    <row r="34" spans="2:3" ht="15.75" thickBot="1">
      <c r="B34" s="2"/>
      <c r="C34" s="2"/>
    </row>
    <row r="35" spans="2:20" ht="18.75" thickBot="1">
      <c r="B35" s="69" t="s">
        <v>77</v>
      </c>
      <c r="C35" s="66" t="s">
        <v>13</v>
      </c>
      <c r="F35" s="52" t="s">
        <v>45</v>
      </c>
      <c r="G35" s="53" t="s">
        <v>46</v>
      </c>
      <c r="H35" s="53" t="s">
        <v>47</v>
      </c>
      <c r="I35" s="53" t="s">
        <v>48</v>
      </c>
      <c r="J35" s="53" t="s">
        <v>49</v>
      </c>
      <c r="K35" s="53" t="s">
        <v>50</v>
      </c>
      <c r="L35" s="53" t="s">
        <v>51</v>
      </c>
      <c r="M35" s="53" t="s">
        <v>52</v>
      </c>
      <c r="N35" s="53" t="s">
        <v>53</v>
      </c>
      <c r="O35" s="53" t="s">
        <v>54</v>
      </c>
      <c r="P35" s="53" t="s">
        <v>55</v>
      </c>
      <c r="Q35" s="53" t="s">
        <v>56</v>
      </c>
      <c r="R35" s="54" t="s">
        <v>64</v>
      </c>
      <c r="T35" s="77" t="s">
        <v>64</v>
      </c>
    </row>
    <row r="36" spans="2:20" ht="18.75">
      <c r="B36" s="70" t="s">
        <v>78</v>
      </c>
      <c r="C36" s="67" t="s">
        <v>14</v>
      </c>
      <c r="E36" s="58" t="s">
        <v>39</v>
      </c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>
        <f>SUM(F36:Q36)</f>
        <v>0</v>
      </c>
      <c r="T36" s="78">
        <v>500</v>
      </c>
    </row>
    <row r="37" spans="2:20" ht="18.75">
      <c r="B37" s="70" t="s">
        <v>79</v>
      </c>
      <c r="C37" s="67" t="s">
        <v>15</v>
      </c>
      <c r="E37" s="59" t="s">
        <v>61</v>
      </c>
      <c r="F37" s="55">
        <f>F16*2.628</f>
        <v>92.03725043337602</v>
      </c>
      <c r="G37" s="51">
        <f aca="true" t="shared" si="8" ref="G37:Q37">G16*2.628</f>
        <v>68.07774248740803</v>
      </c>
      <c r="H37" s="51">
        <f t="shared" si="8"/>
        <v>94.33462974775202</v>
      </c>
      <c r="I37" s="51">
        <f t="shared" si="8"/>
        <v>78.059017183104</v>
      </c>
      <c r="J37" s="51">
        <f t="shared" si="8"/>
        <v>120.80509295450402</v>
      </c>
      <c r="K37" s="51">
        <f t="shared" si="8"/>
        <v>74.0093732046</v>
      </c>
      <c r="L37" s="51">
        <f t="shared" si="8"/>
        <v>18.984932666064005</v>
      </c>
      <c r="M37" s="51">
        <f t="shared" si="8"/>
        <v>17.754208504056002</v>
      </c>
      <c r="N37" s="51">
        <f t="shared" si="8"/>
        <v>45.433742277600004</v>
      </c>
      <c r="O37" s="51">
        <f t="shared" si="8"/>
        <v>82.99467137304002</v>
      </c>
      <c r="P37" s="51">
        <f t="shared" si="8"/>
        <v>106.625231213472</v>
      </c>
      <c r="Q37" s="51">
        <f t="shared" si="8"/>
        <v>30.459423669336033</v>
      </c>
      <c r="R37" s="64">
        <f>SUM(F37:Q37)</f>
        <v>829.5753157143121</v>
      </c>
      <c r="T37" s="79">
        <f>R37</f>
        <v>829.5753157143121</v>
      </c>
    </row>
    <row r="38" spans="2:20" ht="18.75">
      <c r="B38" s="70" t="s">
        <v>80</v>
      </c>
      <c r="C38" s="67" t="s">
        <v>16</v>
      </c>
      <c r="E38" s="59" t="s">
        <v>62</v>
      </c>
      <c r="F38" s="55">
        <f>F37-F36</f>
        <v>92.03725043337602</v>
      </c>
      <c r="G38" s="51">
        <f aca="true" t="shared" si="9" ref="G38:Q38">G37-G36</f>
        <v>68.07774248740803</v>
      </c>
      <c r="H38" s="51">
        <f t="shared" si="9"/>
        <v>94.33462974775202</v>
      </c>
      <c r="I38" s="51">
        <f t="shared" si="9"/>
        <v>78.059017183104</v>
      </c>
      <c r="J38" s="51">
        <f t="shared" si="9"/>
        <v>120.80509295450402</v>
      </c>
      <c r="K38" s="51">
        <f t="shared" si="9"/>
        <v>74.0093732046</v>
      </c>
      <c r="L38" s="51">
        <f t="shared" si="9"/>
        <v>18.984932666064005</v>
      </c>
      <c r="M38" s="51">
        <f t="shared" si="9"/>
        <v>17.754208504056002</v>
      </c>
      <c r="N38" s="51">
        <f t="shared" si="9"/>
        <v>45.433742277600004</v>
      </c>
      <c r="O38" s="51">
        <f t="shared" si="9"/>
        <v>82.99467137304002</v>
      </c>
      <c r="P38" s="51">
        <f t="shared" si="9"/>
        <v>106.625231213472</v>
      </c>
      <c r="Q38" s="51">
        <f t="shared" si="9"/>
        <v>30.459423669336033</v>
      </c>
      <c r="R38" s="64">
        <f>SUM(F38:Q38)</f>
        <v>829.5753157143121</v>
      </c>
      <c r="T38" s="79">
        <f>T37-T36</f>
        <v>329.57531571431207</v>
      </c>
    </row>
    <row r="39" spans="2:20" ht="19.5" thickBot="1">
      <c r="B39" s="71" t="s">
        <v>81</v>
      </c>
      <c r="C39" s="68" t="s">
        <v>17</v>
      </c>
      <c r="E39" s="60" t="s">
        <v>63</v>
      </c>
      <c r="F39" s="56" t="e">
        <f>F37/F36</f>
        <v>#DIV/0!</v>
      </c>
      <c r="G39" s="57" t="e">
        <f aca="true" t="shared" si="10" ref="G39:Q39">G37/G36</f>
        <v>#DIV/0!</v>
      </c>
      <c r="H39" s="57" t="e">
        <f t="shared" si="10"/>
        <v>#DIV/0!</v>
      </c>
      <c r="I39" s="57" t="e">
        <f t="shared" si="10"/>
        <v>#DIV/0!</v>
      </c>
      <c r="J39" s="57" t="e">
        <f t="shared" si="10"/>
        <v>#DIV/0!</v>
      </c>
      <c r="K39" s="57" t="e">
        <f t="shared" si="10"/>
        <v>#DIV/0!</v>
      </c>
      <c r="L39" s="57" t="e">
        <f t="shared" si="10"/>
        <v>#DIV/0!</v>
      </c>
      <c r="M39" s="57" t="e">
        <f t="shared" si="10"/>
        <v>#DIV/0!</v>
      </c>
      <c r="N39" s="57" t="e">
        <f t="shared" si="10"/>
        <v>#DIV/0!</v>
      </c>
      <c r="O39" s="57" t="e">
        <f t="shared" si="10"/>
        <v>#DIV/0!</v>
      </c>
      <c r="P39" s="57" t="e">
        <f t="shared" si="10"/>
        <v>#DIV/0!</v>
      </c>
      <c r="Q39" s="57" t="e">
        <f t="shared" si="10"/>
        <v>#DIV/0!</v>
      </c>
      <c r="R39" s="65" t="e">
        <f>AVERAGE(F39:Q39)</f>
        <v>#DIV/0!</v>
      </c>
      <c r="T39" s="80">
        <f>T37/T36</f>
        <v>1.6591506314286242</v>
      </c>
    </row>
    <row r="40" ht="13.5" thickBot="1"/>
    <row r="41" spans="6:20" ht="15.75" thickBot="1">
      <c r="F41" s="52" t="s">
        <v>45</v>
      </c>
      <c r="G41" s="53" t="s">
        <v>46</v>
      </c>
      <c r="H41" s="53" t="s">
        <v>47</v>
      </c>
      <c r="I41" s="53" t="s">
        <v>48</v>
      </c>
      <c r="J41" s="53" t="s">
        <v>49</v>
      </c>
      <c r="K41" s="53" t="s">
        <v>50</v>
      </c>
      <c r="L41" s="53" t="s">
        <v>51</v>
      </c>
      <c r="M41" s="53" t="s">
        <v>52</v>
      </c>
      <c r="N41" s="53" t="s">
        <v>53</v>
      </c>
      <c r="O41" s="53" t="s">
        <v>54</v>
      </c>
      <c r="P41" s="53" t="s">
        <v>55</v>
      </c>
      <c r="Q41" s="53" t="s">
        <v>56</v>
      </c>
      <c r="R41" s="54" t="s">
        <v>64</v>
      </c>
      <c r="T41" s="77" t="s">
        <v>64</v>
      </c>
    </row>
    <row r="42" spans="5:20" ht="15">
      <c r="E42" s="58" t="s">
        <v>39</v>
      </c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>
        <f>SUM(F42:Q42)</f>
        <v>0</v>
      </c>
      <c r="T42" s="78">
        <v>500</v>
      </c>
    </row>
    <row r="43" spans="5:20" ht="15">
      <c r="E43" s="59" t="s">
        <v>61</v>
      </c>
      <c r="F43" s="55">
        <f>F23*2.628</f>
        <v>102.43436796000002</v>
      </c>
      <c r="G43" s="51">
        <f aca="true" t="shared" si="11" ref="G43:Q43">G23*2.628</f>
        <v>83.71683216000002</v>
      </c>
      <c r="H43" s="51">
        <f t="shared" si="11"/>
        <v>106.05614616000001</v>
      </c>
      <c r="I43" s="51">
        <f t="shared" si="11"/>
        <v>90.88612128</v>
      </c>
      <c r="J43" s="51">
        <f t="shared" si="11"/>
        <v>124.00712064000001</v>
      </c>
      <c r="K43" s="51">
        <f t="shared" si="11"/>
        <v>76.0758696</v>
      </c>
      <c r="L43" s="51">
        <f t="shared" si="11"/>
        <v>21.93452316</v>
      </c>
      <c r="M43" s="51">
        <f t="shared" si="11"/>
        <v>20.319958800000002</v>
      </c>
      <c r="N43" s="51">
        <f t="shared" si="11"/>
        <v>49.474675440000006</v>
      </c>
      <c r="O43" s="51">
        <f t="shared" si="11"/>
        <v>90.64337292</v>
      </c>
      <c r="P43" s="51">
        <f t="shared" si="11"/>
        <v>123.51807611999999</v>
      </c>
      <c r="Q43" s="51">
        <f t="shared" si="11"/>
        <v>57.179682359999994</v>
      </c>
      <c r="R43" s="64">
        <f>SUM(F43:Q43)</f>
        <v>946.2467466000003</v>
      </c>
      <c r="T43" s="79">
        <f>R43</f>
        <v>946.2467466000003</v>
      </c>
    </row>
    <row r="44" spans="5:20" ht="15">
      <c r="E44" s="59" t="s">
        <v>62</v>
      </c>
      <c r="F44" s="55">
        <f>F43-F42</f>
        <v>102.43436796000002</v>
      </c>
      <c r="G44" s="51">
        <f aca="true" t="shared" si="12" ref="G44:Q44">G43-G42</f>
        <v>83.71683216000002</v>
      </c>
      <c r="H44" s="51">
        <f t="shared" si="12"/>
        <v>106.05614616000001</v>
      </c>
      <c r="I44" s="51">
        <f t="shared" si="12"/>
        <v>90.88612128</v>
      </c>
      <c r="J44" s="51">
        <f t="shared" si="12"/>
        <v>124.00712064000001</v>
      </c>
      <c r="K44" s="51">
        <f t="shared" si="12"/>
        <v>76.0758696</v>
      </c>
      <c r="L44" s="51">
        <f t="shared" si="12"/>
        <v>21.93452316</v>
      </c>
      <c r="M44" s="51">
        <f t="shared" si="12"/>
        <v>20.319958800000002</v>
      </c>
      <c r="N44" s="51">
        <f t="shared" si="12"/>
        <v>49.474675440000006</v>
      </c>
      <c r="O44" s="51">
        <f t="shared" si="12"/>
        <v>90.64337292</v>
      </c>
      <c r="P44" s="51">
        <f t="shared" si="12"/>
        <v>123.51807611999999</v>
      </c>
      <c r="Q44" s="51">
        <f t="shared" si="12"/>
        <v>57.179682359999994</v>
      </c>
      <c r="R44" s="64">
        <f>SUM(F44:Q44)</f>
        <v>946.2467466000003</v>
      </c>
      <c r="T44" s="79">
        <f>T43-T42</f>
        <v>446.2467466000003</v>
      </c>
    </row>
    <row r="45" spans="5:20" ht="15.75" thickBot="1">
      <c r="E45" s="60" t="s">
        <v>63</v>
      </c>
      <c r="F45" s="56" t="e">
        <f>F43/F42</f>
        <v>#DIV/0!</v>
      </c>
      <c r="G45" s="57" t="e">
        <f aca="true" t="shared" si="13" ref="G45:Q45">G43/G42</f>
        <v>#DIV/0!</v>
      </c>
      <c r="H45" s="57" t="e">
        <f t="shared" si="13"/>
        <v>#DIV/0!</v>
      </c>
      <c r="I45" s="57" t="e">
        <f t="shared" si="13"/>
        <v>#DIV/0!</v>
      </c>
      <c r="J45" s="57" t="e">
        <f t="shared" si="13"/>
        <v>#DIV/0!</v>
      </c>
      <c r="K45" s="57" t="e">
        <f t="shared" si="13"/>
        <v>#DIV/0!</v>
      </c>
      <c r="L45" s="57" t="e">
        <f t="shared" si="13"/>
        <v>#DIV/0!</v>
      </c>
      <c r="M45" s="57" t="e">
        <f t="shared" si="13"/>
        <v>#DIV/0!</v>
      </c>
      <c r="N45" s="57" t="e">
        <f t="shared" si="13"/>
        <v>#DIV/0!</v>
      </c>
      <c r="O45" s="57" t="e">
        <f t="shared" si="13"/>
        <v>#DIV/0!</v>
      </c>
      <c r="P45" s="57" t="e">
        <f t="shared" si="13"/>
        <v>#DIV/0!</v>
      </c>
      <c r="Q45" s="57" t="e">
        <f t="shared" si="13"/>
        <v>#DIV/0!</v>
      </c>
      <c r="R45" s="65" t="e">
        <f>AVERAGE(F45:Q45)</f>
        <v>#DIV/0!</v>
      </c>
      <c r="T45" s="80">
        <f>T43/T42</f>
        <v>1.8924934932000006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2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3.421875" style="0" customWidth="1"/>
    <col min="3" max="3" width="17.8515625" style="0" customWidth="1"/>
  </cols>
  <sheetData>
    <row r="1" spans="2:3" ht="15" thickBot="1">
      <c r="B1" s="1"/>
      <c r="C1" s="3"/>
    </row>
    <row r="2" spans="2:6" ht="15">
      <c r="B2" s="4" t="s">
        <v>26</v>
      </c>
      <c r="C2" s="5" t="s">
        <v>21</v>
      </c>
      <c r="E2" s="25" t="s">
        <v>38</v>
      </c>
      <c r="F2" s="48">
        <v>1150</v>
      </c>
    </row>
    <row r="3" spans="2:6" ht="15">
      <c r="B3" s="6" t="s">
        <v>27</v>
      </c>
      <c r="C3" s="7" t="s">
        <v>22</v>
      </c>
      <c r="E3" s="26" t="s">
        <v>39</v>
      </c>
      <c r="F3" s="50">
        <v>1500</v>
      </c>
    </row>
    <row r="4" spans="2:6" ht="15">
      <c r="B4" s="8" t="s">
        <v>28</v>
      </c>
      <c r="C4" s="9" t="s">
        <v>21</v>
      </c>
      <c r="E4" s="26" t="s">
        <v>40</v>
      </c>
      <c r="F4" s="49">
        <v>2.3</v>
      </c>
    </row>
    <row r="5" spans="2:6" ht="15">
      <c r="B5" s="6" t="s">
        <v>29</v>
      </c>
      <c r="C5" s="7" t="s">
        <v>22</v>
      </c>
      <c r="E5" s="8" t="s">
        <v>41</v>
      </c>
      <c r="F5" s="27">
        <f>-24.5694+0.0086*F2+0.03416*F3</f>
        <v>36.5606</v>
      </c>
    </row>
    <row r="6" spans="2:6" ht="15.75" thickBot="1">
      <c r="B6" s="8" t="s">
        <v>30</v>
      </c>
      <c r="C6" s="9" t="s">
        <v>21</v>
      </c>
      <c r="E6" s="10" t="s">
        <v>42</v>
      </c>
      <c r="F6" s="18">
        <f>F5*F4</f>
        <v>84.08937999999999</v>
      </c>
    </row>
    <row r="7" spans="2:3" ht="15">
      <c r="B7" s="6" t="s">
        <v>31</v>
      </c>
      <c r="C7" s="7" t="s">
        <v>22</v>
      </c>
    </row>
    <row r="8" spans="2:3" ht="15.75" thickBot="1">
      <c r="B8" s="8" t="s">
        <v>32</v>
      </c>
      <c r="C8" s="9" t="s">
        <v>21</v>
      </c>
    </row>
    <row r="9" spans="2:17" ht="15.75" thickBot="1">
      <c r="B9" s="6" t="s">
        <v>33</v>
      </c>
      <c r="C9" s="7" t="s">
        <v>22</v>
      </c>
      <c r="E9" s="28"/>
      <c r="F9" s="29" t="s">
        <v>45</v>
      </c>
      <c r="G9" s="30" t="s">
        <v>46</v>
      </c>
      <c r="H9" s="30" t="s">
        <v>95</v>
      </c>
      <c r="I9" s="30" t="s">
        <v>48</v>
      </c>
      <c r="J9" s="30" t="s">
        <v>49</v>
      </c>
      <c r="K9" s="30" t="s">
        <v>50</v>
      </c>
      <c r="L9" s="30" t="s">
        <v>51</v>
      </c>
      <c r="M9" s="30" t="s">
        <v>52</v>
      </c>
      <c r="N9" s="30" t="s">
        <v>53</v>
      </c>
      <c r="O9" s="30" t="s">
        <v>54</v>
      </c>
      <c r="P9" s="30" t="s">
        <v>55</v>
      </c>
      <c r="Q9" s="31" t="s">
        <v>56</v>
      </c>
    </row>
    <row r="10" spans="2:17" ht="15">
      <c r="B10" s="8" t="s">
        <v>34</v>
      </c>
      <c r="C10" s="9" t="s">
        <v>21</v>
      </c>
      <c r="E10" s="32" t="s">
        <v>38</v>
      </c>
      <c r="F10" s="36">
        <f>$F$2</f>
        <v>1150</v>
      </c>
      <c r="G10" s="37">
        <f aca="true" t="shared" si="0" ref="G10:Q10">$F$2</f>
        <v>1150</v>
      </c>
      <c r="H10" s="37">
        <f t="shared" si="0"/>
        <v>1150</v>
      </c>
      <c r="I10" s="37">
        <f t="shared" si="0"/>
        <v>1150</v>
      </c>
      <c r="J10" s="37">
        <f t="shared" si="0"/>
        <v>1150</v>
      </c>
      <c r="K10" s="37">
        <f t="shared" si="0"/>
        <v>1150</v>
      </c>
      <c r="L10" s="37">
        <f t="shared" si="0"/>
        <v>1150</v>
      </c>
      <c r="M10" s="37">
        <f t="shared" si="0"/>
        <v>1150</v>
      </c>
      <c r="N10" s="37">
        <f t="shared" si="0"/>
        <v>1150</v>
      </c>
      <c r="O10" s="37">
        <f t="shared" si="0"/>
        <v>1150</v>
      </c>
      <c r="P10" s="37">
        <f t="shared" si="0"/>
        <v>1150</v>
      </c>
      <c r="Q10" s="38">
        <f t="shared" si="0"/>
        <v>1150</v>
      </c>
    </row>
    <row r="11" spans="2:17" ht="15">
      <c r="B11" s="6" t="s">
        <v>35</v>
      </c>
      <c r="C11" s="7" t="s">
        <v>22</v>
      </c>
      <c r="E11" s="33" t="s">
        <v>41</v>
      </c>
      <c r="F11" s="39">
        <f>$F$5</f>
        <v>36.5606</v>
      </c>
      <c r="G11" s="40">
        <f aca="true" t="shared" si="1" ref="G11:Q11">$F$5</f>
        <v>36.5606</v>
      </c>
      <c r="H11" s="40">
        <f t="shared" si="1"/>
        <v>36.5606</v>
      </c>
      <c r="I11" s="40">
        <f t="shared" si="1"/>
        <v>36.5606</v>
      </c>
      <c r="J11" s="40">
        <f t="shared" si="1"/>
        <v>36.5606</v>
      </c>
      <c r="K11" s="40">
        <f t="shared" si="1"/>
        <v>36.5606</v>
      </c>
      <c r="L11" s="40">
        <f t="shared" si="1"/>
        <v>36.5606</v>
      </c>
      <c r="M11" s="40">
        <f t="shared" si="1"/>
        <v>36.5606</v>
      </c>
      <c r="N11" s="40">
        <f t="shared" si="1"/>
        <v>36.5606</v>
      </c>
      <c r="O11" s="40">
        <f t="shared" si="1"/>
        <v>36.5606</v>
      </c>
      <c r="P11" s="40">
        <f t="shared" si="1"/>
        <v>36.5606</v>
      </c>
      <c r="Q11" s="41">
        <f t="shared" si="1"/>
        <v>36.5606</v>
      </c>
    </row>
    <row r="12" spans="2:17" ht="15">
      <c r="B12" s="8" t="s">
        <v>59</v>
      </c>
      <c r="C12" s="9" t="s">
        <v>21</v>
      </c>
      <c r="E12" s="34" t="s">
        <v>40</v>
      </c>
      <c r="F12" s="42">
        <f>$F$4</f>
        <v>2.3</v>
      </c>
      <c r="G12" s="43">
        <f aca="true" t="shared" si="2" ref="G12:Q12">$F$4</f>
        <v>2.3</v>
      </c>
      <c r="H12" s="43">
        <f t="shared" si="2"/>
        <v>2.3</v>
      </c>
      <c r="I12" s="43">
        <f t="shared" si="2"/>
        <v>2.3</v>
      </c>
      <c r="J12" s="43">
        <f t="shared" si="2"/>
        <v>2.3</v>
      </c>
      <c r="K12" s="43">
        <f t="shared" si="2"/>
        <v>2.3</v>
      </c>
      <c r="L12" s="43">
        <f t="shared" si="2"/>
        <v>2.3</v>
      </c>
      <c r="M12" s="43">
        <f t="shared" si="2"/>
        <v>2.3</v>
      </c>
      <c r="N12" s="43">
        <f t="shared" si="2"/>
        <v>2.3</v>
      </c>
      <c r="O12" s="43">
        <f t="shared" si="2"/>
        <v>2.3</v>
      </c>
      <c r="P12" s="43">
        <f t="shared" si="2"/>
        <v>2.3</v>
      </c>
      <c r="Q12" s="44">
        <f t="shared" si="2"/>
        <v>2.3</v>
      </c>
    </row>
    <row r="13" spans="2:17" ht="15">
      <c r="B13" s="6" t="s">
        <v>60</v>
      </c>
      <c r="C13" s="7" t="s">
        <v>22</v>
      </c>
      <c r="E13" s="33" t="s">
        <v>43</v>
      </c>
      <c r="F13" s="39">
        <f>17.21612-0.01128*F10+0.39172*F11</f>
        <v>18.565638232</v>
      </c>
      <c r="G13" s="40">
        <f>18.96143-0.01463*G10+0.47772*G11</f>
        <v>19.602659832</v>
      </c>
      <c r="H13" s="40">
        <f>2.75092-0.00076*H10+0.90612*H11</f>
        <v>35.005210872</v>
      </c>
      <c r="I13" s="40">
        <f>0.83206+0.01039*I10+0.58833*I11</f>
        <v>34.290257798</v>
      </c>
      <c r="J13" s="40">
        <f>-47.2076+0.06614*J10+0.90269*J11</f>
        <v>61.85628801400001</v>
      </c>
      <c r="K13" s="40">
        <f>-41.2076+0.04156*K10+1.56283*K11</f>
        <v>63.724402497999996</v>
      </c>
      <c r="L13" s="40">
        <f>-8.82208-0.00822*L10+1.57414*L11</f>
        <v>39.276422884</v>
      </c>
      <c r="M13" s="40">
        <f>6.72423-0.01889*M10+1.08984*M11</f>
        <v>24.845934303999996</v>
      </c>
      <c r="N13" s="40">
        <f>8.53122-0.01647*N10+1.12151*N11</f>
        <v>30.593798506000006</v>
      </c>
      <c r="O13" s="40">
        <f>-2.41062-0.00121*O10+1.23868*O11</f>
        <v>41.484764008</v>
      </c>
      <c r="P13" s="40">
        <f>19.82724-0.02626*P10+1.50633*P11</f>
        <v>44.700568598000004</v>
      </c>
      <c r="Q13" s="41">
        <f>27.99917-0.0206*Q10+0.47398*Q11</f>
        <v>21.638163188</v>
      </c>
    </row>
    <row r="14" spans="2:17" ht="15.75" thickBot="1">
      <c r="B14" s="8" t="s">
        <v>36</v>
      </c>
      <c r="C14" s="9" t="s">
        <v>21</v>
      </c>
      <c r="E14" s="35" t="s">
        <v>44</v>
      </c>
      <c r="F14" s="45">
        <f>F13*F12</f>
        <v>42.7009679336</v>
      </c>
      <c r="G14" s="46">
        <f aca="true" t="shared" si="3" ref="G14:Q14">G13*G12</f>
        <v>45.086117613599995</v>
      </c>
      <c r="H14" s="46">
        <f t="shared" si="3"/>
        <v>80.5119850056</v>
      </c>
      <c r="I14" s="46">
        <f t="shared" si="3"/>
        <v>78.8675929354</v>
      </c>
      <c r="J14" s="46">
        <f t="shared" si="3"/>
        <v>142.26946243220002</v>
      </c>
      <c r="K14" s="46">
        <f t="shared" si="3"/>
        <v>146.56612574539997</v>
      </c>
      <c r="L14" s="46">
        <f t="shared" si="3"/>
        <v>90.3357726332</v>
      </c>
      <c r="M14" s="46">
        <f t="shared" si="3"/>
        <v>57.14564889919999</v>
      </c>
      <c r="N14" s="46">
        <f t="shared" si="3"/>
        <v>70.36573656380001</v>
      </c>
      <c r="O14" s="46">
        <f t="shared" si="3"/>
        <v>95.41495721839999</v>
      </c>
      <c r="P14" s="46">
        <f t="shared" si="3"/>
        <v>102.8113077754</v>
      </c>
      <c r="Q14" s="47">
        <f t="shared" si="3"/>
        <v>49.7677753324</v>
      </c>
    </row>
    <row r="15" spans="2:3" ht="15.75" thickBot="1">
      <c r="B15" s="10" t="s">
        <v>37</v>
      </c>
      <c r="C15" s="11" t="s">
        <v>22</v>
      </c>
    </row>
    <row r="16" spans="2:17" ht="15.75" thickBot="1">
      <c r="B16" s="2"/>
      <c r="C16" s="2"/>
      <c r="E16" s="76">
        <v>30</v>
      </c>
      <c r="F16" s="29" t="s">
        <v>45</v>
      </c>
      <c r="G16" s="30" t="s">
        <v>46</v>
      </c>
      <c r="H16" s="30" t="s">
        <v>95</v>
      </c>
      <c r="I16" s="30" t="s">
        <v>48</v>
      </c>
      <c r="J16" s="30" t="s">
        <v>49</v>
      </c>
      <c r="K16" s="30" t="s">
        <v>50</v>
      </c>
      <c r="L16" s="30" t="s">
        <v>51</v>
      </c>
      <c r="M16" s="30" t="s">
        <v>52</v>
      </c>
      <c r="N16" s="30" t="s">
        <v>53</v>
      </c>
      <c r="O16" s="30" t="s">
        <v>54</v>
      </c>
      <c r="P16" s="30" t="s">
        <v>55</v>
      </c>
      <c r="Q16" s="31" t="s">
        <v>56</v>
      </c>
    </row>
    <row r="17" spans="2:17" ht="15.75" thickBot="1">
      <c r="B17" s="12" t="s">
        <v>82</v>
      </c>
      <c r="C17" s="13" t="s">
        <v>0</v>
      </c>
      <c r="E17" s="32" t="s">
        <v>38</v>
      </c>
      <c r="F17" s="36">
        <f>$F$2</f>
        <v>1150</v>
      </c>
      <c r="G17" s="37">
        <f aca="true" t="shared" si="4" ref="G17:Q17">$F$2</f>
        <v>1150</v>
      </c>
      <c r="H17" s="37">
        <f t="shared" si="4"/>
        <v>1150</v>
      </c>
      <c r="I17" s="37">
        <f t="shared" si="4"/>
        <v>1150</v>
      </c>
      <c r="J17" s="37">
        <f t="shared" si="4"/>
        <v>1150</v>
      </c>
      <c r="K17" s="37">
        <f t="shared" si="4"/>
        <v>1150</v>
      </c>
      <c r="L17" s="37">
        <f t="shared" si="4"/>
        <v>1150</v>
      </c>
      <c r="M17" s="37">
        <f t="shared" si="4"/>
        <v>1150</v>
      </c>
      <c r="N17" s="37">
        <f t="shared" si="4"/>
        <v>1150</v>
      </c>
      <c r="O17" s="37">
        <f t="shared" si="4"/>
        <v>1150</v>
      </c>
      <c r="P17" s="37">
        <f t="shared" si="4"/>
        <v>1150</v>
      </c>
      <c r="Q17" s="38">
        <f t="shared" si="4"/>
        <v>1150</v>
      </c>
    </row>
    <row r="18" spans="2:17" ht="15.75" thickBot="1">
      <c r="B18" s="2"/>
      <c r="C18" s="2"/>
      <c r="E18" s="33" t="s">
        <v>41</v>
      </c>
      <c r="F18" s="39">
        <f>$E$16</f>
        <v>30</v>
      </c>
      <c r="G18" s="40">
        <f aca="true" t="shared" si="5" ref="G18:Q18">$E$16</f>
        <v>30</v>
      </c>
      <c r="H18" s="40">
        <f t="shared" si="5"/>
        <v>30</v>
      </c>
      <c r="I18" s="40">
        <f t="shared" si="5"/>
        <v>30</v>
      </c>
      <c r="J18" s="40">
        <f t="shared" si="5"/>
        <v>30</v>
      </c>
      <c r="K18" s="40">
        <f t="shared" si="5"/>
        <v>30</v>
      </c>
      <c r="L18" s="40">
        <f t="shared" si="5"/>
        <v>30</v>
      </c>
      <c r="M18" s="40">
        <f t="shared" si="5"/>
        <v>30</v>
      </c>
      <c r="N18" s="40">
        <f t="shared" si="5"/>
        <v>30</v>
      </c>
      <c r="O18" s="40">
        <f t="shared" si="5"/>
        <v>30</v>
      </c>
      <c r="P18" s="40">
        <f t="shared" si="5"/>
        <v>30</v>
      </c>
      <c r="Q18" s="41">
        <f t="shared" si="5"/>
        <v>30</v>
      </c>
    </row>
    <row r="19" spans="2:17" ht="15">
      <c r="B19" s="14" t="s">
        <v>83</v>
      </c>
      <c r="C19" s="15" t="s">
        <v>1</v>
      </c>
      <c r="E19" s="34" t="s">
        <v>40</v>
      </c>
      <c r="F19" s="42">
        <f>$F$4</f>
        <v>2.3</v>
      </c>
      <c r="G19" s="43">
        <f aca="true" t="shared" si="6" ref="G19:Q19">$F$4</f>
        <v>2.3</v>
      </c>
      <c r="H19" s="43">
        <f t="shared" si="6"/>
        <v>2.3</v>
      </c>
      <c r="I19" s="43">
        <f t="shared" si="6"/>
        <v>2.3</v>
      </c>
      <c r="J19" s="43">
        <f t="shared" si="6"/>
        <v>2.3</v>
      </c>
      <c r="K19" s="43">
        <f t="shared" si="6"/>
        <v>2.3</v>
      </c>
      <c r="L19" s="43">
        <f t="shared" si="6"/>
        <v>2.3</v>
      </c>
      <c r="M19" s="43">
        <f t="shared" si="6"/>
        <v>2.3</v>
      </c>
      <c r="N19" s="43">
        <f t="shared" si="6"/>
        <v>2.3</v>
      </c>
      <c r="O19" s="43">
        <f t="shared" si="6"/>
        <v>2.3</v>
      </c>
      <c r="P19" s="43">
        <f t="shared" si="6"/>
        <v>2.3</v>
      </c>
      <c r="Q19" s="44">
        <f t="shared" si="6"/>
        <v>2.3</v>
      </c>
    </row>
    <row r="20" spans="2:17" ht="15">
      <c r="B20" s="8" t="s">
        <v>84</v>
      </c>
      <c r="C20" s="16" t="s">
        <v>2</v>
      </c>
      <c r="E20" s="33" t="s">
        <v>43</v>
      </c>
      <c r="F20" s="39">
        <f>17.21612-0.01128*F17+0.39172*F18</f>
        <v>15.99572</v>
      </c>
      <c r="G20" s="40">
        <f>18.96143-0.01463*G17+0.47772*G18</f>
        <v>16.46853</v>
      </c>
      <c r="H20" s="40">
        <f>2.75092-0.00076*H17+0.90612*H18</f>
        <v>29.06052</v>
      </c>
      <c r="I20" s="40">
        <f>0.83206+0.01039*I17+0.58833*I18</f>
        <v>30.430460000000004</v>
      </c>
      <c r="J20" s="40">
        <f>-47.2076+0.06614*J17+0.90269*J18</f>
        <v>55.93410000000001</v>
      </c>
      <c r="K20" s="40">
        <f>-41.2076+0.04156*K17+1.56283*K18</f>
        <v>53.4713</v>
      </c>
      <c r="L20" s="40">
        <f>-8.82208-0.00822*L17+1.57414*L18</f>
        <v>28.949120000000004</v>
      </c>
      <c r="M20" s="40">
        <f>6.72423-0.01889*M17+1.08984*M18</f>
        <v>17.695929999999997</v>
      </c>
      <c r="N20" s="40">
        <f>8.53122-0.01647*N17+1.12151*N18</f>
        <v>23.236020000000003</v>
      </c>
      <c r="O20" s="40">
        <f>-2.41062-0.00121*O17+1.23868*O18</f>
        <v>33.35828</v>
      </c>
      <c r="P20" s="40">
        <f>19.82724-0.02626*P17+1.50633*P18</f>
        <v>34.81814</v>
      </c>
      <c r="Q20" s="41">
        <f>27.99917-0.0206*Q17+0.47398*Q18</f>
        <v>18.52857</v>
      </c>
    </row>
    <row r="21" spans="2:17" ht="15.75" thickBot="1">
      <c r="B21" s="8" t="s">
        <v>85</v>
      </c>
      <c r="C21" s="16" t="s">
        <v>3</v>
      </c>
      <c r="E21" s="35" t="s">
        <v>44</v>
      </c>
      <c r="F21" s="45">
        <f>F20*F19</f>
        <v>36.790155999999996</v>
      </c>
      <c r="G21" s="46">
        <f aca="true" t="shared" si="7" ref="G21:Q21">G20*G19</f>
        <v>37.877619</v>
      </c>
      <c r="H21" s="46">
        <f t="shared" si="7"/>
        <v>66.839196</v>
      </c>
      <c r="I21" s="46">
        <f t="shared" si="7"/>
        <v>69.990058</v>
      </c>
      <c r="J21" s="46">
        <f t="shared" si="7"/>
        <v>128.64843000000002</v>
      </c>
      <c r="K21" s="46">
        <f t="shared" si="7"/>
        <v>122.98398999999999</v>
      </c>
      <c r="L21" s="46">
        <f t="shared" si="7"/>
        <v>66.582976</v>
      </c>
      <c r="M21" s="46">
        <f t="shared" si="7"/>
        <v>40.70063899999999</v>
      </c>
      <c r="N21" s="46">
        <f t="shared" si="7"/>
        <v>53.442846</v>
      </c>
      <c r="O21" s="46">
        <f t="shared" si="7"/>
        <v>76.72404399999999</v>
      </c>
      <c r="P21" s="46">
        <f t="shared" si="7"/>
        <v>80.081722</v>
      </c>
      <c r="Q21" s="47">
        <f t="shared" si="7"/>
        <v>42.61571099999999</v>
      </c>
    </row>
    <row r="22" spans="2:3" ht="15">
      <c r="B22" s="8" t="s">
        <v>86</v>
      </c>
      <c r="C22" s="16" t="s">
        <v>4</v>
      </c>
    </row>
    <row r="23" spans="2:3" ht="15">
      <c r="B23" s="8" t="s">
        <v>87</v>
      </c>
      <c r="C23" s="16" t="s">
        <v>5</v>
      </c>
    </row>
    <row r="24" spans="2:3" ht="15.75" thickBot="1">
      <c r="B24" s="8" t="s">
        <v>88</v>
      </c>
      <c r="C24" s="16" t="s">
        <v>6</v>
      </c>
    </row>
    <row r="25" spans="2:17" ht="15.75" thickBot="1">
      <c r="B25" s="8" t="s">
        <v>89</v>
      </c>
      <c r="C25" s="16" t="s">
        <v>7</v>
      </c>
      <c r="E25" s="75">
        <f>F5</f>
        <v>36.5606</v>
      </c>
      <c r="F25" s="29">
        <v>10</v>
      </c>
      <c r="G25" s="30">
        <v>91</v>
      </c>
      <c r="H25" s="30">
        <v>182</v>
      </c>
      <c r="I25" s="30">
        <v>274</v>
      </c>
      <c r="J25" s="31">
        <v>355</v>
      </c>
      <c r="L25" s="76">
        <v>30</v>
      </c>
      <c r="M25" s="29">
        <v>10</v>
      </c>
      <c r="N25" s="30">
        <v>91</v>
      </c>
      <c r="O25" s="30">
        <v>182</v>
      </c>
      <c r="P25" s="30">
        <v>274</v>
      </c>
      <c r="Q25" s="31">
        <v>355</v>
      </c>
    </row>
    <row r="26" spans="2:17" ht="15">
      <c r="B26" s="8" t="s">
        <v>90</v>
      </c>
      <c r="C26" s="16" t="s">
        <v>8</v>
      </c>
      <c r="E26" s="32" t="s">
        <v>40</v>
      </c>
      <c r="F26" s="36">
        <f>$F$4</f>
        <v>2.3</v>
      </c>
      <c r="G26" s="37">
        <f>$F$4</f>
        <v>2.3</v>
      </c>
      <c r="H26" s="37">
        <f>$F$4</f>
        <v>2.3</v>
      </c>
      <c r="I26" s="37">
        <f>$F$4</f>
        <v>2.3</v>
      </c>
      <c r="J26" s="38">
        <f>$F$4</f>
        <v>2.3</v>
      </c>
      <c r="L26" s="32" t="s">
        <v>40</v>
      </c>
      <c r="M26" s="36">
        <f>$F$4</f>
        <v>2.3</v>
      </c>
      <c r="N26" s="37">
        <f>$F$4</f>
        <v>2.3</v>
      </c>
      <c r="O26" s="37">
        <f>$F$4</f>
        <v>2.3</v>
      </c>
      <c r="P26" s="37">
        <f>$F$4</f>
        <v>2.3</v>
      </c>
      <c r="Q26" s="38">
        <f>$F$4</f>
        <v>2.3</v>
      </c>
    </row>
    <row r="27" spans="2:17" ht="15">
      <c r="B27" s="8" t="s">
        <v>91</v>
      </c>
      <c r="C27" s="16" t="s">
        <v>9</v>
      </c>
      <c r="E27" s="33" t="s">
        <v>41</v>
      </c>
      <c r="F27" s="39">
        <f>$E$25</f>
        <v>36.5606</v>
      </c>
      <c r="G27" s="40">
        <f>$E$25</f>
        <v>36.5606</v>
      </c>
      <c r="H27" s="40">
        <f>$E$25</f>
        <v>36.5606</v>
      </c>
      <c r="I27" s="40">
        <f>$E$25</f>
        <v>36.5606</v>
      </c>
      <c r="J27" s="41">
        <f>$E$25</f>
        <v>36.5606</v>
      </c>
      <c r="L27" s="33" t="s">
        <v>41</v>
      </c>
      <c r="M27" s="39">
        <f>$L$25</f>
        <v>30</v>
      </c>
      <c r="N27" s="40">
        <f>$L$25</f>
        <v>30</v>
      </c>
      <c r="O27" s="40">
        <f>$L$25</f>
        <v>30</v>
      </c>
      <c r="P27" s="40">
        <f>$L$25</f>
        <v>30</v>
      </c>
      <c r="Q27" s="41">
        <f>$L$25</f>
        <v>30</v>
      </c>
    </row>
    <row r="28" spans="2:17" ht="15">
      <c r="B28" s="8" t="s">
        <v>92</v>
      </c>
      <c r="C28" s="16" t="s">
        <v>10</v>
      </c>
      <c r="E28" s="33" t="s">
        <v>58</v>
      </c>
      <c r="F28" s="39">
        <f>4.23078*F26^(-0.107532)*F27^1.23077</f>
        <v>324.5136893838288</v>
      </c>
      <c r="G28" s="40">
        <f>0.9063*G26^0.005506*G27^1.07275</f>
        <v>43.250007434396785</v>
      </c>
      <c r="H28" s="40">
        <f>0.8225*H26^0.086822*H27^0.69313</f>
        <v>10.713053145986104</v>
      </c>
      <c r="I28" s="40">
        <f>0.45221*I26^0.093306*I27^0.757242</f>
        <v>7.458832725408999</v>
      </c>
      <c r="J28" s="41">
        <f>0.08536*J26^0.096216*J27^1.155468</f>
        <v>5.916573720857109</v>
      </c>
      <c r="L28" s="33" t="s">
        <v>58</v>
      </c>
      <c r="M28" s="39">
        <f>4.23078*M26^(-0.107532)*M27^1.23077</f>
        <v>254.40149062991304</v>
      </c>
      <c r="N28" s="40">
        <f>0.9063*N26^0.005506*N27^1.07275</f>
        <v>34.98206798417882</v>
      </c>
      <c r="O28" s="40">
        <f>0.8225*O26^0.086822*O27^0.69313</f>
        <v>9.340688649012062</v>
      </c>
      <c r="P28" s="40">
        <f>0.45221*P26^0.093306*P27^0.757242</f>
        <v>6.421401018247958</v>
      </c>
      <c r="Q28" s="41">
        <f>0.08536*Q26^0.096216*Q27^1.155468</f>
        <v>4.707873163386693</v>
      </c>
    </row>
    <row r="29" spans="2:17" ht="15.75" thickBot="1">
      <c r="B29" s="8" t="s">
        <v>93</v>
      </c>
      <c r="C29" s="16" t="s">
        <v>11</v>
      </c>
      <c r="E29" s="35" t="s">
        <v>57</v>
      </c>
      <c r="F29" s="45">
        <f>F28*F26</f>
        <v>746.3814855828062</v>
      </c>
      <c r="G29" s="46">
        <f>G28*G26</f>
        <v>99.4750170991126</v>
      </c>
      <c r="H29" s="46">
        <f>H28*H26</f>
        <v>24.640022235768036</v>
      </c>
      <c r="I29" s="46">
        <f>I28*I26</f>
        <v>17.155315268440695</v>
      </c>
      <c r="J29" s="47">
        <f>J28*J26</f>
        <v>13.60811955797135</v>
      </c>
      <c r="L29" s="35" t="s">
        <v>57</v>
      </c>
      <c r="M29" s="45">
        <f>M28*M26</f>
        <v>585.1234284487999</v>
      </c>
      <c r="N29" s="46">
        <f>N28*N26</f>
        <v>80.45875636361127</v>
      </c>
      <c r="O29" s="46">
        <f>O28*O26</f>
        <v>21.48358389272774</v>
      </c>
      <c r="P29" s="46">
        <f>P28*P26</f>
        <v>14.769222341970302</v>
      </c>
      <c r="Q29" s="47">
        <f>Q28*Q26</f>
        <v>10.828108275789393</v>
      </c>
    </row>
    <row r="30" spans="2:3" ht="15.75" thickBot="1">
      <c r="B30" s="17" t="s">
        <v>94</v>
      </c>
      <c r="C30" s="18" t="s">
        <v>12</v>
      </c>
    </row>
    <row r="31" spans="2:3" ht="15.75" thickBot="1">
      <c r="B31" s="2"/>
      <c r="C31" s="2"/>
    </row>
    <row r="32" spans="2:20" ht="18.75" thickBot="1">
      <c r="B32" s="72" t="s">
        <v>96</v>
      </c>
      <c r="C32" s="66" t="s">
        <v>13</v>
      </c>
      <c r="F32" s="52" t="s">
        <v>45</v>
      </c>
      <c r="G32" s="53" t="s">
        <v>46</v>
      </c>
      <c r="H32" s="53" t="s">
        <v>95</v>
      </c>
      <c r="I32" s="53" t="s">
        <v>48</v>
      </c>
      <c r="J32" s="53" t="s">
        <v>49</v>
      </c>
      <c r="K32" s="53" t="s">
        <v>50</v>
      </c>
      <c r="L32" s="53" t="s">
        <v>51</v>
      </c>
      <c r="M32" s="53" t="s">
        <v>52</v>
      </c>
      <c r="N32" s="53" t="s">
        <v>53</v>
      </c>
      <c r="O32" s="53" t="s">
        <v>54</v>
      </c>
      <c r="P32" s="53" t="s">
        <v>55</v>
      </c>
      <c r="Q32" s="53" t="s">
        <v>56</v>
      </c>
      <c r="R32" s="54" t="s">
        <v>64</v>
      </c>
      <c r="T32" s="77" t="s">
        <v>64</v>
      </c>
    </row>
    <row r="33" spans="2:20" ht="18">
      <c r="B33" s="73" t="s">
        <v>97</v>
      </c>
      <c r="C33" s="67" t="s">
        <v>14</v>
      </c>
      <c r="E33" s="58" t="s">
        <v>39</v>
      </c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3">
        <f>SUM(F33:Q33)</f>
        <v>0</v>
      </c>
      <c r="T33" s="78">
        <v>1000</v>
      </c>
    </row>
    <row r="34" spans="2:20" ht="18">
      <c r="B34" s="73" t="s">
        <v>98</v>
      </c>
      <c r="C34" s="67" t="s">
        <v>15</v>
      </c>
      <c r="E34" s="59" t="s">
        <v>61</v>
      </c>
      <c r="F34" s="55">
        <f>F13*2.628</f>
        <v>48.790497273696005</v>
      </c>
      <c r="G34" s="51">
        <f aca="true" t="shared" si="8" ref="G34:Q34">G13*2.628</f>
        <v>51.515790038496</v>
      </c>
      <c r="H34" s="51">
        <f t="shared" si="8"/>
        <v>91.993694171616</v>
      </c>
      <c r="I34" s="51">
        <f t="shared" si="8"/>
        <v>90.114797493144</v>
      </c>
      <c r="J34" s="51">
        <f t="shared" si="8"/>
        <v>162.55832490079203</v>
      </c>
      <c r="K34" s="51">
        <f t="shared" si="8"/>
        <v>167.467729764744</v>
      </c>
      <c r="L34" s="51">
        <f t="shared" si="8"/>
        <v>103.218439339152</v>
      </c>
      <c r="M34" s="51">
        <f t="shared" si="8"/>
        <v>65.295115350912</v>
      </c>
      <c r="N34" s="51">
        <f t="shared" si="8"/>
        <v>80.40050247376801</v>
      </c>
      <c r="O34" s="51">
        <f t="shared" si="8"/>
        <v>109.021959813024</v>
      </c>
      <c r="P34" s="51">
        <f t="shared" si="8"/>
        <v>117.47309427554401</v>
      </c>
      <c r="Q34" s="51">
        <f t="shared" si="8"/>
        <v>56.865092858064</v>
      </c>
      <c r="R34" s="64">
        <f>SUM(F34:Q34)</f>
        <v>1144.715037752952</v>
      </c>
      <c r="T34" s="79">
        <f>R34</f>
        <v>1144.715037752952</v>
      </c>
    </row>
    <row r="35" spans="2:20" ht="18">
      <c r="B35" s="73" t="s">
        <v>99</v>
      </c>
      <c r="C35" s="67" t="s">
        <v>16</v>
      </c>
      <c r="E35" s="59" t="s">
        <v>62</v>
      </c>
      <c r="F35" s="55">
        <f>F34-F33</f>
        <v>48.790497273696005</v>
      </c>
      <c r="G35" s="51">
        <f aca="true" t="shared" si="9" ref="G35:Q35">G34-G33</f>
        <v>51.515790038496</v>
      </c>
      <c r="H35" s="51">
        <f t="shared" si="9"/>
        <v>91.993694171616</v>
      </c>
      <c r="I35" s="51">
        <f t="shared" si="9"/>
        <v>90.114797493144</v>
      </c>
      <c r="J35" s="51">
        <f t="shared" si="9"/>
        <v>162.55832490079203</v>
      </c>
      <c r="K35" s="51">
        <f t="shared" si="9"/>
        <v>167.467729764744</v>
      </c>
      <c r="L35" s="51">
        <f t="shared" si="9"/>
        <v>103.218439339152</v>
      </c>
      <c r="M35" s="51">
        <f t="shared" si="9"/>
        <v>65.295115350912</v>
      </c>
      <c r="N35" s="51">
        <f t="shared" si="9"/>
        <v>80.40050247376801</v>
      </c>
      <c r="O35" s="51">
        <f t="shared" si="9"/>
        <v>109.021959813024</v>
      </c>
      <c r="P35" s="51">
        <f t="shared" si="9"/>
        <v>117.47309427554401</v>
      </c>
      <c r="Q35" s="51">
        <f t="shared" si="9"/>
        <v>56.865092858064</v>
      </c>
      <c r="R35" s="64">
        <f>SUM(F35:Q35)</f>
        <v>1144.715037752952</v>
      </c>
      <c r="T35" s="79">
        <f>T34-T33</f>
        <v>144.71503775295196</v>
      </c>
    </row>
    <row r="36" spans="2:20" ht="18.75" thickBot="1">
      <c r="B36" s="74" t="s">
        <v>100</v>
      </c>
      <c r="C36" s="68" t="s">
        <v>17</v>
      </c>
      <c r="E36" s="60" t="s">
        <v>63</v>
      </c>
      <c r="F36" s="56" t="e">
        <f>F34/F33</f>
        <v>#DIV/0!</v>
      </c>
      <c r="G36" s="57" t="e">
        <f aca="true" t="shared" si="10" ref="G36:Q36">G34/G33</f>
        <v>#DIV/0!</v>
      </c>
      <c r="H36" s="57" t="e">
        <f t="shared" si="10"/>
        <v>#DIV/0!</v>
      </c>
      <c r="I36" s="57" t="e">
        <f t="shared" si="10"/>
        <v>#DIV/0!</v>
      </c>
      <c r="J36" s="57" t="e">
        <f t="shared" si="10"/>
        <v>#DIV/0!</v>
      </c>
      <c r="K36" s="57" t="e">
        <f t="shared" si="10"/>
        <v>#DIV/0!</v>
      </c>
      <c r="L36" s="57" t="e">
        <f t="shared" si="10"/>
        <v>#DIV/0!</v>
      </c>
      <c r="M36" s="57" t="e">
        <f t="shared" si="10"/>
        <v>#DIV/0!</v>
      </c>
      <c r="N36" s="57" t="e">
        <f t="shared" si="10"/>
        <v>#DIV/0!</v>
      </c>
      <c r="O36" s="57" t="e">
        <f t="shared" si="10"/>
        <v>#DIV/0!</v>
      </c>
      <c r="P36" s="57" t="e">
        <f t="shared" si="10"/>
        <v>#DIV/0!</v>
      </c>
      <c r="Q36" s="57" t="e">
        <f t="shared" si="10"/>
        <v>#DIV/0!</v>
      </c>
      <c r="R36" s="65" t="e">
        <f>AVERAGE(F36:Q36)</f>
        <v>#DIV/0!</v>
      </c>
      <c r="T36" s="80">
        <f>T34/T33</f>
        <v>1.144715037752952</v>
      </c>
    </row>
    <row r="37" ht="13.5" thickBot="1"/>
    <row r="38" spans="6:20" ht="15.75" thickBot="1">
      <c r="F38" s="52" t="s">
        <v>45</v>
      </c>
      <c r="G38" s="53" t="s">
        <v>46</v>
      </c>
      <c r="H38" s="53" t="s">
        <v>95</v>
      </c>
      <c r="I38" s="53" t="s">
        <v>48</v>
      </c>
      <c r="J38" s="53" t="s">
        <v>49</v>
      </c>
      <c r="K38" s="53" t="s">
        <v>50</v>
      </c>
      <c r="L38" s="53" t="s">
        <v>51</v>
      </c>
      <c r="M38" s="53" t="s">
        <v>52</v>
      </c>
      <c r="N38" s="53" t="s">
        <v>53</v>
      </c>
      <c r="O38" s="53" t="s">
        <v>54</v>
      </c>
      <c r="P38" s="53" t="s">
        <v>55</v>
      </c>
      <c r="Q38" s="53" t="s">
        <v>56</v>
      </c>
      <c r="R38" s="54" t="s">
        <v>64</v>
      </c>
      <c r="T38" s="77" t="s">
        <v>64</v>
      </c>
    </row>
    <row r="39" spans="5:20" ht="15">
      <c r="E39" s="58" t="s">
        <v>39</v>
      </c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>
        <f>SUM(F39:Q39)</f>
        <v>0</v>
      </c>
      <c r="T39" s="78">
        <v>1000</v>
      </c>
    </row>
    <row r="40" spans="5:20" ht="15">
      <c r="E40" s="59" t="s">
        <v>61</v>
      </c>
      <c r="F40" s="55">
        <f>F20*2.628</f>
        <v>42.036752160000006</v>
      </c>
      <c r="G40" s="51">
        <f aca="true" t="shared" si="11" ref="G40:Q40">G20*2.628</f>
        <v>43.27929684000001</v>
      </c>
      <c r="H40" s="51">
        <f t="shared" si="11"/>
        <v>76.37104656000001</v>
      </c>
      <c r="I40" s="51">
        <f t="shared" si="11"/>
        <v>79.97124888000002</v>
      </c>
      <c r="J40" s="51">
        <f t="shared" si="11"/>
        <v>146.99481480000003</v>
      </c>
      <c r="K40" s="51">
        <f t="shared" si="11"/>
        <v>140.5225764</v>
      </c>
      <c r="L40" s="51">
        <f t="shared" si="11"/>
        <v>76.07828736000002</v>
      </c>
      <c r="M40" s="51">
        <f t="shared" si="11"/>
        <v>46.50490403999999</v>
      </c>
      <c r="N40" s="51">
        <f t="shared" si="11"/>
        <v>61.064260560000015</v>
      </c>
      <c r="O40" s="51">
        <f t="shared" si="11"/>
        <v>87.66555984</v>
      </c>
      <c r="P40" s="51">
        <f t="shared" si="11"/>
        <v>91.50207192</v>
      </c>
      <c r="Q40" s="51">
        <f t="shared" si="11"/>
        <v>48.69308196</v>
      </c>
      <c r="R40" s="64">
        <f>SUM(F40:Q40)</f>
        <v>940.6839013200001</v>
      </c>
      <c r="T40" s="79">
        <f>R40</f>
        <v>940.6839013200001</v>
      </c>
    </row>
    <row r="41" spans="5:20" ht="15">
      <c r="E41" s="59" t="s">
        <v>62</v>
      </c>
      <c r="F41" s="55">
        <f aca="true" t="shared" si="12" ref="F41:Q41">F40-F39</f>
        <v>42.036752160000006</v>
      </c>
      <c r="G41" s="51">
        <f t="shared" si="12"/>
        <v>43.27929684000001</v>
      </c>
      <c r="H41" s="51">
        <f t="shared" si="12"/>
        <v>76.37104656000001</v>
      </c>
      <c r="I41" s="51">
        <f t="shared" si="12"/>
        <v>79.97124888000002</v>
      </c>
      <c r="J41" s="51">
        <f t="shared" si="12"/>
        <v>146.99481480000003</v>
      </c>
      <c r="K41" s="51">
        <f t="shared" si="12"/>
        <v>140.5225764</v>
      </c>
      <c r="L41" s="51">
        <f t="shared" si="12"/>
        <v>76.07828736000002</v>
      </c>
      <c r="M41" s="51">
        <f t="shared" si="12"/>
        <v>46.50490403999999</v>
      </c>
      <c r="N41" s="51">
        <f t="shared" si="12"/>
        <v>61.064260560000015</v>
      </c>
      <c r="O41" s="51">
        <f t="shared" si="12"/>
        <v>87.66555984</v>
      </c>
      <c r="P41" s="51">
        <f t="shared" si="12"/>
        <v>91.50207192</v>
      </c>
      <c r="Q41" s="51">
        <f t="shared" si="12"/>
        <v>48.69308196</v>
      </c>
      <c r="R41" s="64">
        <f>SUM(F41:Q41)</f>
        <v>940.6839013200001</v>
      </c>
      <c r="T41" s="79">
        <f>T40-T39</f>
        <v>-59.31609867999987</v>
      </c>
    </row>
    <row r="42" spans="5:20" ht="15.75" thickBot="1">
      <c r="E42" s="60" t="s">
        <v>63</v>
      </c>
      <c r="F42" s="56" t="e">
        <f>F40/F39</f>
        <v>#DIV/0!</v>
      </c>
      <c r="G42" s="57" t="e">
        <f aca="true" t="shared" si="13" ref="G42:Q42">G40/G39</f>
        <v>#DIV/0!</v>
      </c>
      <c r="H42" s="57" t="e">
        <f t="shared" si="13"/>
        <v>#DIV/0!</v>
      </c>
      <c r="I42" s="57" t="e">
        <f t="shared" si="13"/>
        <v>#DIV/0!</v>
      </c>
      <c r="J42" s="57" t="e">
        <f t="shared" si="13"/>
        <v>#DIV/0!</v>
      </c>
      <c r="K42" s="57" t="e">
        <f t="shared" si="13"/>
        <v>#DIV/0!</v>
      </c>
      <c r="L42" s="57" t="e">
        <f t="shared" si="13"/>
        <v>#DIV/0!</v>
      </c>
      <c r="M42" s="57" t="e">
        <f t="shared" si="13"/>
        <v>#DIV/0!</v>
      </c>
      <c r="N42" s="57" t="e">
        <f t="shared" si="13"/>
        <v>#DIV/0!</v>
      </c>
      <c r="O42" s="57" t="e">
        <f t="shared" si="13"/>
        <v>#DIV/0!</v>
      </c>
      <c r="P42" s="57" t="e">
        <f t="shared" si="13"/>
        <v>#DIV/0!</v>
      </c>
      <c r="Q42" s="57" t="e">
        <f t="shared" si="13"/>
        <v>#DIV/0!</v>
      </c>
      <c r="R42" s="65" t="e">
        <f>AVERAGE(F42:Q42)</f>
        <v>#DIV/0!</v>
      </c>
      <c r="T42" s="80">
        <f>T40/T39</f>
        <v>0.9406839013200001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cp:keywords/>
  <dc:description/>
  <cp:lastModifiedBy>Administrator</cp:lastModifiedBy>
  <cp:lastPrinted>2004-09-17T10:18:59Z</cp:lastPrinted>
  <dcterms:created xsi:type="dcterms:W3CDTF">2004-09-17T09:58:42Z</dcterms:created>
  <dcterms:modified xsi:type="dcterms:W3CDTF">2014-03-30T17:33:35Z</dcterms:modified>
  <cp:category/>
  <cp:version/>
  <cp:contentType/>
  <cp:contentStatus/>
</cp:coreProperties>
</file>